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DS\AMERI\AmeriCorps\AC Funding Process Files\2024 AC State Funding Process\2024 NOFO and Application Instructions\2024 TN Specific Documents\Helpful Resources\"/>
    </mc:Choice>
  </mc:AlternateContent>
  <xr:revisionPtr revIDLastSave="0" documentId="13_ncr:1_{E5E178A5-1EAA-4D65-9DF6-6D27FE0CD81A}" xr6:coauthVersionLast="47" xr6:coauthVersionMax="47" xr10:uidLastSave="{00000000-0000-0000-0000-000000000000}"/>
  <bookViews>
    <workbookView xWindow="11550" yWindow="120" windowWidth="17070" windowHeight="16170" xr2:uid="{00000000-000D-0000-FFFF-FFFF00000000}"/>
  </bookViews>
  <sheets>
    <sheet name="Sheet1" sheetId="1" r:id="rId1"/>
  </sheets>
  <definedNames>
    <definedName name="Corporation_Share">Sheet1!$C$4:$C$54</definedName>
    <definedName name="Grantee_Share">Sheet1!$D$4:$D$54</definedName>
    <definedName name="Total">Sheet1!$E$4:$E$54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8" i="1" s="1"/>
  <c r="F35" i="1"/>
  <c r="F34" i="1"/>
  <c r="F33" i="1"/>
  <c r="F32" i="1"/>
  <c r="F30" i="1"/>
  <c r="F31" i="1"/>
  <c r="J29" i="1"/>
  <c r="G31" i="1"/>
  <c r="G29" i="1"/>
  <c r="F29" i="1"/>
  <c r="C56" i="1"/>
  <c r="D36" i="1"/>
  <c r="G39" i="1"/>
  <c r="B54" i="1"/>
  <c r="G20" i="1"/>
  <c r="G40" i="1"/>
  <c r="B36" i="1"/>
  <c r="D49" i="1"/>
  <c r="C49" i="1"/>
  <c r="E36" i="1" l="1"/>
  <c r="E30" i="1"/>
  <c r="G30" i="1"/>
  <c r="G34" i="1"/>
  <c r="E34" i="1"/>
  <c r="G35" i="1" l="1"/>
  <c r="G33" i="1"/>
  <c r="G32" i="1"/>
  <c r="E20" i="1"/>
  <c r="D22" i="1"/>
  <c r="C22" i="1"/>
  <c r="C10" i="1"/>
  <c r="E22" i="1" l="1"/>
  <c r="H35" i="1"/>
  <c r="H30" i="1"/>
  <c r="H34" i="1"/>
  <c r="H33" i="1"/>
  <c r="H31" i="1"/>
  <c r="H32" i="1"/>
  <c r="E12" i="1"/>
  <c r="D17" i="1"/>
  <c r="C17" i="1"/>
  <c r="C24" i="1" s="1"/>
  <c r="D38" i="1"/>
  <c r="D41" i="1" s="1"/>
  <c r="D43" i="1" s="1"/>
  <c r="E29" i="1"/>
  <c r="E39" i="1"/>
  <c r="E40" i="1"/>
  <c r="C41" i="1"/>
  <c r="E5" i="1"/>
  <c r="E6" i="1"/>
  <c r="E11" i="1"/>
  <c r="E13" i="1"/>
  <c r="E18" i="1"/>
  <c r="E16" i="1"/>
  <c r="E47" i="1"/>
  <c r="E46" i="1"/>
  <c r="E19" i="1"/>
  <c r="E21" i="1"/>
  <c r="E31" i="1"/>
  <c r="E32" i="1"/>
  <c r="E33" i="1"/>
  <c r="E35" i="1"/>
  <c r="E41" i="1" l="1"/>
  <c r="C43" i="1"/>
  <c r="E43" i="1" s="1"/>
  <c r="D10" i="1"/>
  <c r="E8" i="1"/>
  <c r="E15" i="1"/>
  <c r="E49" i="1"/>
  <c r="E9" i="1"/>
  <c r="E17" i="1"/>
  <c r="E10" i="1" l="1"/>
  <c r="D24" i="1"/>
  <c r="E24" i="1" s="1"/>
  <c r="E38" i="1"/>
  <c r="D51" i="1" l="1"/>
  <c r="G46" i="1"/>
  <c r="F46" i="1"/>
  <c r="C51" i="1"/>
  <c r="C54" i="1" s="1"/>
  <c r="E51" i="1" l="1"/>
  <c r="D52" i="1" s="1"/>
  <c r="C52" i="1" l="1"/>
</calcChain>
</file>

<file path=xl/sharedStrings.xml><?xml version="1.0" encoding="utf-8"?>
<sst xmlns="http://schemas.openxmlformats.org/spreadsheetml/2006/main" count="74" uniqueCount="69">
  <si>
    <t>Grantee Share</t>
  </si>
  <si>
    <t>Total</t>
  </si>
  <si>
    <t>FICA@7.65%</t>
  </si>
  <si>
    <t>Section II. Member Costs</t>
  </si>
  <si>
    <t>Section II. Subtotal</t>
  </si>
  <si>
    <t>Section III. Administration/Indirect Costs</t>
  </si>
  <si>
    <t>A. Corporation Fixed Amount</t>
  </si>
  <si>
    <t>B. Federally Approved Ind. Cost Rate</t>
  </si>
  <si>
    <t>Section III. SUBTOTAL</t>
  </si>
  <si>
    <t>Budget TOTAL</t>
  </si>
  <si>
    <t>A. Living Allowance</t>
  </si>
  <si>
    <t>B. Member Support Costs</t>
  </si>
  <si>
    <t>Section I. Program Operating Costs</t>
  </si>
  <si>
    <t>A. Personnel Expenses</t>
  </si>
  <si>
    <t>B. Personnel Fringe Benefits</t>
  </si>
  <si>
    <t>C. Travel</t>
  </si>
  <si>
    <t xml:space="preserve">     Staff Travel</t>
  </si>
  <si>
    <t xml:space="preserve">     Member Travel</t>
  </si>
  <si>
    <t>E. Supplies</t>
  </si>
  <si>
    <t>F. Contractual &amp; Consultant Services</t>
  </si>
  <si>
    <t>G. Training</t>
  </si>
  <si>
    <t xml:space="preserve">     Staff Training</t>
  </si>
  <si>
    <t xml:space="preserve">     Member Training</t>
  </si>
  <si>
    <t>H. Evaluation</t>
  </si>
  <si>
    <t>I. Other Program Operating Costs</t>
  </si>
  <si>
    <t>Section I. SUBTOTAL</t>
  </si>
  <si>
    <t># Members</t>
  </si>
  <si>
    <t>Sub-Total Travel</t>
  </si>
  <si>
    <t>Sub-Total Training</t>
  </si>
  <si>
    <t>Sub-Total Other</t>
  </si>
  <si>
    <t>Sub-Total</t>
  </si>
  <si>
    <t>Max 10% of Total</t>
  </si>
  <si>
    <t>MSYs</t>
  </si>
  <si>
    <t>Budget funding Percentages</t>
  </si>
  <si>
    <t>Min. 24%</t>
  </si>
  <si>
    <t>Min.</t>
  </si>
  <si>
    <t>Cash match</t>
  </si>
  <si>
    <t>D. Equipment ($5,000 or more per unit)</t>
  </si>
  <si>
    <t xml:space="preserve">   Criminal History Checks</t>
  </si>
  <si>
    <t>Max.</t>
  </si>
  <si>
    <t>Max</t>
  </si>
  <si>
    <t>Accidental Death &amp; Dismemberment $20/member/month</t>
  </si>
  <si>
    <t>Max CNCS</t>
  </si>
  <si>
    <t>Max Match</t>
  </si>
  <si>
    <t>FT/hour</t>
  </si>
  <si>
    <t>SAMPLE 20 MSY AMERICORPS BUDGET</t>
  </si>
  <si>
    <t>each</t>
  </si>
  <si>
    <t>Program-determined amounts</t>
  </si>
  <si>
    <t>Member Service Years</t>
  </si>
  <si>
    <r>
      <t xml:space="preserve">Abbreviated-time </t>
    </r>
    <r>
      <rPr>
        <sz val="7"/>
        <rFont val="Arial"/>
        <family val="2"/>
      </rPr>
      <t>(max $2,112 - 100 hours of service)</t>
    </r>
  </si>
  <si>
    <r>
      <t xml:space="preserve">Three Quarter-Time </t>
    </r>
    <r>
      <rPr>
        <sz val="7"/>
        <rFont val="Arial"/>
        <family val="2"/>
      </rPr>
      <t>( max $24,640 - 1,200 hours of service)</t>
    </r>
  </si>
  <si>
    <r>
      <t xml:space="preserve">Full-Time </t>
    </r>
    <r>
      <rPr>
        <sz val="7"/>
        <rFont val="Arial"/>
        <family val="2"/>
      </rPr>
      <t>(Min $17,600, max $35,200 - 1700 hours of service)</t>
    </r>
  </si>
  <si>
    <r>
      <t xml:space="preserve">Half-Time </t>
    </r>
    <r>
      <rPr>
        <sz val="7"/>
        <rFont val="Arial"/>
        <family val="2"/>
      </rPr>
      <t>(max $17,600 - 900 hours of service)</t>
    </r>
  </si>
  <si>
    <r>
      <t xml:space="preserve">Reduced HT </t>
    </r>
    <r>
      <rPr>
        <sz val="7"/>
        <rFont val="Arial"/>
        <family val="2"/>
      </rPr>
      <t>( max $13,376 - 675 hours of service)</t>
    </r>
  </si>
  <si>
    <r>
      <t xml:space="preserve">Quarter-Time </t>
    </r>
    <r>
      <rPr>
        <sz val="7"/>
        <rFont val="Arial"/>
        <family val="2"/>
      </rPr>
      <t>( max $9,152 - 450 hours of service)</t>
    </r>
  </si>
  <si>
    <r>
      <t xml:space="preserve">Minimum-Time </t>
    </r>
    <r>
      <rPr>
        <sz val="7"/>
        <rFont val="Arial"/>
        <family val="2"/>
      </rPr>
      <t>(max $7,392 - 300 hours of service)</t>
    </r>
  </si>
  <si>
    <t>Cash or in-kind</t>
  </si>
  <si>
    <t>Living allowance per member</t>
  </si>
  <si>
    <t>Amounts from NOFO</t>
  </si>
  <si>
    <r>
      <t xml:space="preserve">Health Care </t>
    </r>
    <r>
      <rPr>
        <sz val="9"/>
        <rFont val="Arial"/>
        <family val="2"/>
      </rPr>
      <t>$150/FTmember/month (80% participation)</t>
    </r>
  </si>
  <si>
    <t xml:space="preserve">   Travel to AmeriCorps Sponsored Meeting</t>
  </si>
  <si>
    <t>Federal Share</t>
  </si>
  <si>
    <t>Max 5% of Federal</t>
  </si>
  <si>
    <t>Updated 9/8/23</t>
  </si>
  <si>
    <t>Min or pro-rated*</t>
  </si>
  <si>
    <t>*Living allowance not required for less than FT.</t>
  </si>
  <si>
    <t>Actual Cost Per MSY</t>
  </si>
  <si>
    <t>Max Cost/MSY</t>
  </si>
  <si>
    <t>Max Total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</si>
</sst>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"/>
    <numFmt numFmtId="166" formatCode="0.000"/>
  </numFmts>
  <fonts count="11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center"/>
    </xf>
    <xf numFmtId="0" fontId="1" fillId="2" borderId="0" xfId="0" applyFont="1" applyFill="1"/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0" fontId="0" fillId="0" borderId="0" xfId="0" applyFill="1" applyBorder="1"/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/>
    <xf numFmtId="3" fontId="3" fillId="0" borderId="0" xfId="0" applyNumberFormat="1" applyFont="1" applyBorder="1" applyAlignment="1">
      <alignment horizontal="center"/>
    </xf>
    <xf numFmtId="0" fontId="1" fillId="0" borderId="0" xfId="0" applyFont="1" applyFill="1"/>
    <xf numFmtId="3" fontId="0" fillId="0" borderId="0" xfId="0" applyNumberFormat="1" applyFill="1" applyAlignment="1">
      <alignment horizontal="center"/>
    </xf>
    <xf numFmtId="0" fontId="0" fillId="0" borderId="0" xfId="0" applyFill="1"/>
    <xf numFmtId="3" fontId="0" fillId="0" borderId="0" xfId="0" applyNumberForma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9" fontId="0" fillId="0" borderId="0" xfId="0" applyNumberFormat="1" applyFill="1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/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6" fillId="0" borderId="0" xfId="0" applyFont="1"/>
    <xf numFmtId="3" fontId="0" fillId="0" borderId="0" xfId="0" applyNumberFormat="1" applyAlignment="1">
      <alignment horizontal="left"/>
    </xf>
    <xf numFmtId="3" fontId="0" fillId="0" borderId="0" xfId="0" applyNumberFormat="1" applyFill="1" applyAlignment="1">
      <alignment horizontal="left"/>
    </xf>
    <xf numFmtId="0" fontId="5" fillId="0" borderId="3" xfId="0" applyFont="1" applyFill="1" applyBorder="1"/>
    <xf numFmtId="0" fontId="1" fillId="0" borderId="3" xfId="0" applyFont="1" applyFill="1" applyBorder="1"/>
    <xf numFmtId="0" fontId="0" fillId="0" borderId="3" xfId="0" applyBorder="1"/>
    <xf numFmtId="0" fontId="0" fillId="0" borderId="4" xfId="0" applyBorder="1"/>
    <xf numFmtId="0" fontId="1" fillId="0" borderId="5" xfId="0" applyFont="1" applyFill="1" applyBorder="1"/>
    <xf numFmtId="0" fontId="0" fillId="0" borderId="7" xfId="0" applyBorder="1"/>
    <xf numFmtId="0" fontId="1" fillId="0" borderId="0" xfId="0" applyFont="1" applyFill="1" applyBorder="1"/>
    <xf numFmtId="0" fontId="5" fillId="0" borderId="9" xfId="0" applyFont="1" applyFill="1" applyBorder="1"/>
    <xf numFmtId="0" fontId="1" fillId="0" borderId="1" xfId="0" applyFont="1" applyFill="1" applyBorder="1"/>
    <xf numFmtId="0" fontId="5" fillId="0" borderId="3" xfId="0" applyFont="1" applyFill="1" applyBorder="1" applyAlignment="1">
      <alignment horizontal="right"/>
    </xf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5" fillId="0" borderId="3" xfId="0" applyFont="1" applyBorder="1" applyAlignment="1">
      <alignment horizontal="right"/>
    </xf>
    <xf numFmtId="0" fontId="1" fillId="0" borderId="3" xfId="0" applyFont="1" applyBorder="1"/>
    <xf numFmtId="0" fontId="5" fillId="0" borderId="4" xfId="0" applyFont="1" applyFill="1" applyBorder="1"/>
    <xf numFmtId="0" fontId="0" fillId="0" borderId="5" xfId="0" applyFill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5" fillId="0" borderId="4" xfId="0" applyFont="1" applyBorder="1"/>
    <xf numFmtId="3" fontId="0" fillId="3" borderId="3" xfId="0" applyNumberFormat="1" applyFill="1" applyBorder="1" applyAlignment="1">
      <alignment horizontal="center"/>
    </xf>
    <xf numFmtId="3" fontId="0" fillId="3" borderId="3" xfId="0" applyNumberFormat="1" applyFill="1" applyBorder="1"/>
    <xf numFmtId="3" fontId="5" fillId="0" borderId="0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3" fontId="5" fillId="0" borderId="0" xfId="0" applyNumberFormat="1" applyFont="1" applyBorder="1" applyAlignment="1"/>
    <xf numFmtId="0" fontId="5" fillId="0" borderId="0" xfId="0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14" xfId="0" applyFont="1" applyBorder="1"/>
    <xf numFmtId="0" fontId="8" fillId="0" borderId="0" xfId="0" applyFont="1" applyAlignment="1">
      <alignment horizontal="left"/>
    </xf>
    <xf numFmtId="3" fontId="0" fillId="2" borderId="13" xfId="0" applyNumberFormat="1" applyFill="1" applyBorder="1" applyAlignment="1">
      <alignment horizontal="left"/>
    </xf>
    <xf numFmtId="6" fontId="0" fillId="0" borderId="3" xfId="0" applyNumberFormat="1" applyBorder="1" applyAlignment="1" applyProtection="1">
      <alignment horizontal="center"/>
      <protection locked="0"/>
    </xf>
    <xf numFmtId="6" fontId="0" fillId="0" borderId="3" xfId="0" applyNumberFormat="1" applyBorder="1" applyAlignment="1">
      <alignment horizontal="center"/>
    </xf>
    <xf numFmtId="6" fontId="0" fillId="3" borderId="11" xfId="0" applyNumberFormat="1" applyFill="1" applyBorder="1" applyAlignment="1" applyProtection="1">
      <alignment horizontal="center"/>
      <protection locked="0"/>
    </xf>
    <xf numFmtId="6" fontId="0" fillId="3" borderId="6" xfId="0" applyNumberFormat="1" applyFill="1" applyBorder="1"/>
    <xf numFmtId="6" fontId="0" fillId="0" borderId="12" xfId="0" applyNumberFormat="1" applyFill="1" applyBorder="1" applyAlignment="1" applyProtection="1">
      <alignment horizontal="center"/>
      <protection locked="0"/>
    </xf>
    <xf numFmtId="6" fontId="0" fillId="0" borderId="8" xfId="0" applyNumberFormat="1" applyBorder="1" applyAlignment="1">
      <alignment horizontal="center"/>
    </xf>
    <xf numFmtId="6" fontId="0" fillId="0" borderId="13" xfId="0" applyNumberFormat="1" applyBorder="1" applyAlignment="1" applyProtection="1">
      <alignment horizontal="center"/>
      <protection locked="0"/>
    </xf>
    <xf numFmtId="6" fontId="0" fillId="0" borderId="13" xfId="0" applyNumberFormat="1" applyFill="1" applyBorder="1" applyAlignment="1">
      <alignment horizontal="center"/>
    </xf>
    <xf numFmtId="6" fontId="0" fillId="0" borderId="10" xfId="0" applyNumberFormat="1" applyBorder="1" applyAlignment="1">
      <alignment horizontal="center"/>
    </xf>
    <xf numFmtId="6" fontId="0" fillId="0" borderId="3" xfId="0" applyNumberFormat="1" applyFill="1" applyBorder="1" applyAlignment="1" applyProtection="1">
      <alignment horizontal="center"/>
      <protection locked="0"/>
    </xf>
    <xf numFmtId="6" fontId="0" fillId="0" borderId="3" xfId="0" applyNumberFormat="1" applyFill="1" applyBorder="1" applyAlignment="1">
      <alignment horizontal="center"/>
    </xf>
    <xf numFmtId="6" fontId="0" fillId="0" borderId="8" xfId="0" applyNumberFormat="1" applyFill="1" applyBorder="1" applyAlignment="1">
      <alignment horizontal="center"/>
    </xf>
    <xf numFmtId="6" fontId="0" fillId="0" borderId="13" xfId="0" applyNumberFormat="1" applyFill="1" applyBorder="1" applyAlignment="1" applyProtection="1">
      <alignment horizontal="center"/>
      <protection locked="0"/>
    </xf>
    <xf numFmtId="6" fontId="0" fillId="0" borderId="10" xfId="0" applyNumberFormat="1" applyFill="1" applyBorder="1" applyAlignment="1">
      <alignment horizontal="center"/>
    </xf>
    <xf numFmtId="6" fontId="0" fillId="0" borderId="11" xfId="0" applyNumberFormat="1" applyBorder="1" applyAlignment="1" applyProtection="1">
      <alignment horizontal="center"/>
      <protection locked="0"/>
    </xf>
    <xf numFmtId="6" fontId="0" fillId="0" borderId="6" xfId="0" applyNumberFormat="1" applyFill="1" applyBorder="1" applyAlignment="1" applyProtection="1">
      <alignment horizontal="center"/>
      <protection locked="0"/>
    </xf>
    <xf numFmtId="6" fontId="0" fillId="0" borderId="12" xfId="0" applyNumberFormat="1" applyBorder="1" applyAlignment="1" applyProtection="1">
      <alignment horizontal="center"/>
      <protection locked="0"/>
    </xf>
    <xf numFmtId="6" fontId="0" fillId="0" borderId="8" xfId="0" applyNumberFormat="1" applyFill="1" applyBorder="1" applyAlignment="1" applyProtection="1">
      <alignment horizontal="center"/>
      <protection locked="0"/>
    </xf>
    <xf numFmtId="6" fontId="0" fillId="0" borderId="0" xfId="0" applyNumberFormat="1" applyAlignment="1">
      <alignment horizontal="center"/>
    </xf>
    <xf numFmtId="6" fontId="0" fillId="0" borderId="11" xfId="0" applyNumberFormat="1" applyFill="1" applyBorder="1" applyAlignment="1" applyProtection="1">
      <alignment horizontal="center"/>
      <protection locked="0"/>
    </xf>
    <xf numFmtId="6" fontId="0" fillId="0" borderId="11" xfId="0" applyNumberFormat="1" applyBorder="1" applyAlignment="1">
      <alignment horizontal="center"/>
    </xf>
    <xf numFmtId="6" fontId="0" fillId="0" borderId="12" xfId="0" applyNumberFormat="1" applyBorder="1" applyAlignment="1">
      <alignment horizontal="center"/>
    </xf>
    <xf numFmtId="6" fontId="0" fillId="0" borderId="13" xfId="0" applyNumberFormat="1" applyBorder="1" applyAlignment="1">
      <alignment horizontal="center"/>
    </xf>
    <xf numFmtId="6" fontId="0" fillId="3" borderId="3" xfId="0" applyNumberFormat="1" applyFill="1" applyBorder="1" applyAlignment="1">
      <alignment horizontal="center"/>
    </xf>
    <xf numFmtId="6" fontId="1" fillId="0" borderId="16" xfId="0" applyNumberFormat="1" applyFont="1" applyBorder="1" applyAlignment="1">
      <alignment horizontal="center"/>
    </xf>
    <xf numFmtId="6" fontId="1" fillId="0" borderId="2" xfId="0" applyNumberFormat="1" applyFont="1" applyBorder="1" applyAlignment="1">
      <alignment horizontal="center"/>
    </xf>
    <xf numFmtId="6" fontId="0" fillId="0" borderId="11" xfId="0" applyNumberFormat="1" applyFill="1" applyBorder="1" applyAlignment="1">
      <alignment horizontal="center"/>
    </xf>
    <xf numFmtId="6" fontId="0" fillId="0" borderId="6" xfId="0" applyNumberFormat="1" applyFill="1" applyBorder="1" applyAlignment="1">
      <alignment horizontal="center"/>
    </xf>
    <xf numFmtId="6" fontId="0" fillId="0" borderId="2" xfId="0" applyNumberFormat="1" applyFill="1" applyBorder="1"/>
    <xf numFmtId="6" fontId="8" fillId="0" borderId="0" xfId="0" applyNumberFormat="1" applyFont="1"/>
    <xf numFmtId="6" fontId="2" fillId="0" borderId="0" xfId="0" applyNumberFormat="1" applyFont="1" applyFill="1" applyAlignment="1">
      <alignment horizontal="center"/>
    </xf>
    <xf numFmtId="6" fontId="2" fillId="0" borderId="0" xfId="0" applyNumberFormat="1" applyFont="1"/>
    <xf numFmtId="6" fontId="5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8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6" fontId="0" fillId="0" borderId="0" xfId="0" applyNumberFormat="1" applyBorder="1"/>
    <xf numFmtId="165" fontId="0" fillId="5" borderId="0" xfId="0" applyNumberFormat="1" applyFill="1"/>
    <xf numFmtId="6" fontId="0" fillId="5" borderId="0" xfId="0" applyNumberFormat="1" applyFill="1" applyBorder="1" applyAlignment="1">
      <alignment horizontal="center"/>
    </xf>
    <xf numFmtId="6" fontId="0" fillId="5" borderId="0" xfId="0" applyNumberFormat="1" applyFill="1" applyBorder="1" applyAlignment="1" applyProtection="1">
      <alignment horizontal="center"/>
      <protection locked="0"/>
    </xf>
    <xf numFmtId="0" fontId="5" fillId="6" borderId="0" xfId="0" applyFont="1" applyFill="1"/>
    <xf numFmtId="0" fontId="5" fillId="5" borderId="0" xfId="0" applyFont="1" applyFill="1"/>
    <xf numFmtId="6" fontId="2" fillId="6" borderId="0" xfId="0" applyNumberFormat="1" applyFont="1" applyFill="1"/>
    <xf numFmtId="0" fontId="1" fillId="0" borderId="0" xfId="0" applyFont="1" applyFill="1" applyBorder="1" applyAlignment="1">
      <alignment horizontal="right"/>
    </xf>
    <xf numFmtId="0" fontId="5" fillId="0" borderId="0" xfId="0" applyFont="1" applyProtection="1">
      <protection locked="0"/>
    </xf>
    <xf numFmtId="0" fontId="5" fillId="0" borderId="1" xfId="0" applyFont="1" applyBorder="1"/>
    <xf numFmtId="3" fontId="0" fillId="0" borderId="18" xfId="0" applyNumberFormat="1" applyBorder="1" applyAlignment="1">
      <alignment horizontal="center"/>
    </xf>
    <xf numFmtId="3" fontId="0" fillId="0" borderId="18" xfId="0" applyNumberFormat="1" applyBorder="1" applyAlignment="1">
      <alignment horizontal="left"/>
    </xf>
    <xf numFmtId="3" fontId="0" fillId="2" borderId="3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6" fontId="1" fillId="0" borderId="17" xfId="0" applyNumberFormat="1" applyFont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6" fontId="1" fillId="0" borderId="16" xfId="0" applyNumberFormat="1" applyFont="1" applyFill="1" applyBorder="1" applyAlignment="1">
      <alignment horizontal="center"/>
    </xf>
    <xf numFmtId="6" fontId="1" fillId="0" borderId="2" xfId="0" applyNumberFormat="1" applyFont="1" applyFill="1" applyBorder="1" applyAlignment="1">
      <alignment horizontal="center"/>
    </xf>
    <xf numFmtId="6" fontId="0" fillId="0" borderId="12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left"/>
    </xf>
    <xf numFmtId="6" fontId="1" fillId="0" borderId="17" xfId="0" applyNumberFormat="1" applyFont="1" applyFill="1" applyBorder="1" applyAlignment="1">
      <alignment horizontal="center"/>
    </xf>
    <xf numFmtId="3" fontId="0" fillId="0" borderId="20" xfId="0" applyNumberFormat="1" applyFill="1" applyBorder="1" applyAlignment="1">
      <alignment horizontal="left"/>
    </xf>
    <xf numFmtId="6" fontId="1" fillId="0" borderId="16" xfId="0" applyNumberFormat="1" applyFont="1" applyBorder="1" applyAlignment="1" applyProtection="1">
      <alignment horizontal="center"/>
      <protection locked="0"/>
    </xf>
    <xf numFmtId="6" fontId="1" fillId="0" borderId="15" xfId="0" applyNumberFormat="1" applyFont="1" applyBorder="1" applyAlignment="1" applyProtection="1">
      <alignment horizontal="center"/>
      <protection locked="0"/>
    </xf>
    <xf numFmtId="0" fontId="9" fillId="0" borderId="21" xfId="0" applyFont="1" applyBorder="1"/>
    <xf numFmtId="0" fontId="9" fillId="0" borderId="22" xfId="0" applyFont="1" applyBorder="1"/>
    <xf numFmtId="6" fontId="9" fillId="0" borderId="19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/>
    <xf numFmtId="0" fontId="5" fillId="0" borderId="8" xfId="0" applyFont="1" applyFill="1" applyBorder="1" applyAlignment="1">
      <alignment horizontal="center"/>
    </xf>
    <xf numFmtId="6" fontId="0" fillId="6" borderId="8" xfId="0" applyNumberFormat="1" applyFill="1" applyBorder="1"/>
    <xf numFmtId="6" fontId="0" fillId="6" borderId="10" xfId="0" applyNumberFormat="1" applyFill="1" applyBorder="1"/>
    <xf numFmtId="166" fontId="0" fillId="0" borderId="15" xfId="0" applyNumberFormat="1" applyBorder="1" applyAlignment="1">
      <alignment horizontal="center"/>
    </xf>
    <xf numFmtId="0" fontId="5" fillId="0" borderId="9" xfId="0" applyFont="1" applyBorder="1"/>
    <xf numFmtId="0" fontId="5" fillId="2" borderId="13" xfId="0" applyFont="1" applyFill="1" applyBorder="1" applyAlignment="1">
      <alignment horizontal="left"/>
    </xf>
    <xf numFmtId="0" fontId="5" fillId="0" borderId="16" xfId="0" applyFont="1" applyFill="1" applyBorder="1"/>
    <xf numFmtId="0" fontId="0" fillId="0" borderId="2" xfId="0" applyFill="1" applyBorder="1"/>
    <xf numFmtId="0" fontId="5" fillId="0" borderId="11" xfId="0" applyFont="1" applyFill="1" applyBorder="1"/>
    <xf numFmtId="6" fontId="0" fillId="6" borderId="12" xfId="0" applyNumberFormat="1" applyFill="1" applyBorder="1" applyAlignment="1">
      <alignment horizontal="center"/>
    </xf>
    <xf numFmtId="6" fontId="5" fillId="5" borderId="12" xfId="0" applyNumberFormat="1" applyFont="1" applyFill="1" applyBorder="1" applyAlignment="1">
      <alignment horizontal="center"/>
    </xf>
    <xf numFmtId="6" fontId="5" fillId="5" borderId="13" xfId="0" applyNumberFormat="1" applyFont="1" applyFill="1" applyBorder="1" applyAlignment="1">
      <alignment horizontal="center"/>
    </xf>
    <xf numFmtId="6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8"/>
  <sheetViews>
    <sheetView tabSelected="1" zoomScaleNormal="100" workbookViewId="0">
      <selection activeCell="D59" sqref="D59"/>
    </sheetView>
  </sheetViews>
  <sheetFormatPr defaultRowHeight="12.75" x14ac:dyDescent="0.2"/>
  <cols>
    <col min="1" max="1" width="44.42578125" customWidth="1"/>
    <col min="2" max="2" width="7.85546875" customWidth="1"/>
    <col min="3" max="3" width="16.28515625" style="4" customWidth="1"/>
    <col min="4" max="4" width="15.140625" style="4" customWidth="1"/>
    <col min="5" max="5" width="11.7109375" style="4" customWidth="1"/>
    <col min="6" max="6" width="10" style="3" customWidth="1"/>
    <col min="7" max="7" width="10.5703125" customWidth="1"/>
    <col min="8" max="8" width="14.5703125" customWidth="1"/>
    <col min="9" max="9" width="10.5703125" customWidth="1"/>
    <col min="10" max="10" width="7.28515625" bestFit="1" customWidth="1"/>
    <col min="11" max="11" width="9" customWidth="1"/>
  </cols>
  <sheetData>
    <row r="1" spans="1:7" ht="18" x14ac:dyDescent="0.25">
      <c r="A1" s="26" t="s">
        <v>45</v>
      </c>
    </row>
    <row r="2" spans="1:7" x14ac:dyDescent="0.2">
      <c r="A2" s="19" t="s">
        <v>63</v>
      </c>
    </row>
    <row r="3" spans="1:7" s="10" customFormat="1" x14ac:dyDescent="0.2">
      <c r="C3" s="14" t="s">
        <v>61</v>
      </c>
      <c r="D3" s="14" t="s">
        <v>0</v>
      </c>
      <c r="E3" s="11" t="s">
        <v>1</v>
      </c>
      <c r="F3" s="11"/>
    </row>
    <row r="4" spans="1:7" s="17" customFormat="1" x14ac:dyDescent="0.2">
      <c r="A4" s="6" t="s">
        <v>12</v>
      </c>
      <c r="B4" s="6"/>
      <c r="C4" s="8"/>
      <c r="D4" s="8"/>
      <c r="E4" s="8"/>
      <c r="F4" s="16"/>
    </row>
    <row r="5" spans="1:7" s="17" customFormat="1" x14ac:dyDescent="0.2">
      <c r="A5" s="29" t="s">
        <v>13</v>
      </c>
      <c r="B5" s="30"/>
      <c r="C5" s="60">
        <v>24596</v>
      </c>
      <c r="D5" s="60">
        <v>27204</v>
      </c>
      <c r="E5" s="61">
        <f>C5+D5</f>
        <v>51800</v>
      </c>
      <c r="F5" s="5"/>
      <c r="G5" s="9"/>
    </row>
    <row r="6" spans="1:7" s="17" customFormat="1" x14ac:dyDescent="0.2">
      <c r="A6" s="31" t="s">
        <v>14</v>
      </c>
      <c r="B6" s="30"/>
      <c r="C6" s="60">
        <v>9400</v>
      </c>
      <c r="D6" s="60">
        <v>9632</v>
      </c>
      <c r="E6" s="61">
        <f>C6+D6</f>
        <v>19032</v>
      </c>
      <c r="F6" s="5"/>
      <c r="G6" s="9"/>
    </row>
    <row r="7" spans="1:7" s="17" customFormat="1" x14ac:dyDescent="0.2">
      <c r="A7" s="32" t="s">
        <v>15</v>
      </c>
      <c r="B7" s="33"/>
      <c r="C7" s="62"/>
      <c r="D7" s="62"/>
      <c r="E7" s="63"/>
      <c r="F7" s="5"/>
      <c r="G7" s="9"/>
    </row>
    <row r="8" spans="1:7" s="17" customFormat="1" x14ac:dyDescent="0.2">
      <c r="A8" s="34" t="s">
        <v>16</v>
      </c>
      <c r="B8" s="35"/>
      <c r="C8" s="64">
        <v>5400</v>
      </c>
      <c r="D8" s="64">
        <v>6000</v>
      </c>
      <c r="E8" s="65">
        <f>C8+D8</f>
        <v>11400</v>
      </c>
      <c r="F8" s="5"/>
      <c r="G8" s="9"/>
    </row>
    <row r="9" spans="1:7" s="17" customFormat="1" x14ac:dyDescent="0.2">
      <c r="A9" s="36" t="s">
        <v>17</v>
      </c>
      <c r="B9" s="37"/>
      <c r="C9" s="66">
        <v>17000</v>
      </c>
      <c r="D9" s="67">
        <v>10000</v>
      </c>
      <c r="E9" s="68">
        <f>C9+D9</f>
        <v>27000</v>
      </c>
      <c r="F9" s="5"/>
      <c r="G9" s="9"/>
    </row>
    <row r="10" spans="1:7" s="17" customFormat="1" x14ac:dyDescent="0.2">
      <c r="A10" s="38" t="s">
        <v>27</v>
      </c>
      <c r="B10" s="30"/>
      <c r="C10" s="61">
        <f>SUM(C8:C9)</f>
        <v>22400</v>
      </c>
      <c r="D10" s="61">
        <f>SUM(D8:D9)</f>
        <v>16000</v>
      </c>
      <c r="E10" s="61">
        <f>SUM(C10:D10)</f>
        <v>38400</v>
      </c>
      <c r="F10" s="5"/>
      <c r="G10" s="9"/>
    </row>
    <row r="11" spans="1:7" x14ac:dyDescent="0.2">
      <c r="A11" s="51" t="s">
        <v>37</v>
      </c>
      <c r="B11" s="31"/>
      <c r="C11" s="60">
        <v>0</v>
      </c>
      <c r="D11" s="60">
        <v>0</v>
      </c>
      <c r="E11" s="61">
        <f>C11+D11</f>
        <v>0</v>
      </c>
      <c r="F11" s="5"/>
      <c r="G11" s="23"/>
    </row>
    <row r="12" spans="1:7" x14ac:dyDescent="0.2">
      <c r="A12" s="31" t="s">
        <v>18</v>
      </c>
      <c r="B12" s="31"/>
      <c r="C12" s="69">
        <v>2000</v>
      </c>
      <c r="D12" s="69">
        <v>7000</v>
      </c>
      <c r="E12" s="70">
        <f>C12+D12</f>
        <v>9000</v>
      </c>
      <c r="F12" s="5"/>
      <c r="G12" s="9"/>
    </row>
    <row r="13" spans="1:7" x14ac:dyDescent="0.2">
      <c r="A13" s="31" t="s">
        <v>19</v>
      </c>
      <c r="B13" s="31"/>
      <c r="C13" s="69">
        <v>0</v>
      </c>
      <c r="D13" s="69">
        <v>0</v>
      </c>
      <c r="E13" s="70">
        <f>C13+D13</f>
        <v>0</v>
      </c>
      <c r="F13" s="5"/>
      <c r="G13" s="23"/>
    </row>
    <row r="14" spans="1:7" x14ac:dyDescent="0.2">
      <c r="A14" s="32" t="s">
        <v>20</v>
      </c>
      <c r="B14" s="39"/>
      <c r="C14" s="62"/>
      <c r="D14" s="62"/>
      <c r="E14" s="63"/>
      <c r="F14" s="5"/>
      <c r="G14" s="23"/>
    </row>
    <row r="15" spans="1:7" x14ac:dyDescent="0.2">
      <c r="A15" s="34" t="s">
        <v>21</v>
      </c>
      <c r="B15" s="23"/>
      <c r="C15" s="64">
        <v>1000</v>
      </c>
      <c r="D15" s="64">
        <v>1525</v>
      </c>
      <c r="E15" s="71">
        <f>C15+D15</f>
        <v>2525</v>
      </c>
      <c r="F15" s="5"/>
      <c r="G15" s="23"/>
    </row>
    <row r="16" spans="1:7" x14ac:dyDescent="0.2">
      <c r="A16" s="40" t="s">
        <v>22</v>
      </c>
      <c r="B16" s="41"/>
      <c r="C16" s="72">
        <v>5000</v>
      </c>
      <c r="D16" s="72">
        <v>3000</v>
      </c>
      <c r="E16" s="73">
        <f>C16+D16</f>
        <v>8000</v>
      </c>
      <c r="F16" s="5"/>
      <c r="G16" s="23"/>
    </row>
    <row r="17" spans="1:10" x14ac:dyDescent="0.2">
      <c r="A17" s="42" t="s">
        <v>28</v>
      </c>
      <c r="B17" s="43"/>
      <c r="C17" s="61">
        <f>C15+C16</f>
        <v>6000</v>
      </c>
      <c r="D17" s="61">
        <f>D15+D16</f>
        <v>4525</v>
      </c>
      <c r="E17" s="61">
        <f>SUM(C17:D17)</f>
        <v>10525</v>
      </c>
      <c r="F17" s="5"/>
      <c r="G17" s="23"/>
    </row>
    <row r="18" spans="1:10" x14ac:dyDescent="0.2">
      <c r="A18" s="29" t="s">
        <v>23</v>
      </c>
      <c r="B18" s="31"/>
      <c r="C18" s="60">
        <v>2000</v>
      </c>
      <c r="D18" s="60">
        <v>4000</v>
      </c>
      <c r="E18" s="69">
        <f>C18+D18</f>
        <v>6000</v>
      </c>
      <c r="F18" s="5"/>
      <c r="G18" s="23"/>
    </row>
    <row r="19" spans="1:10" x14ac:dyDescent="0.2">
      <c r="A19" s="32" t="s">
        <v>24</v>
      </c>
      <c r="B19" s="39"/>
      <c r="C19" s="74">
        <v>0</v>
      </c>
      <c r="D19" s="74">
        <v>0</v>
      </c>
      <c r="E19" s="75">
        <f>C19+D19</f>
        <v>0</v>
      </c>
      <c r="F19" s="95" t="s">
        <v>46</v>
      </c>
      <c r="G19" s="96" t="s">
        <v>1</v>
      </c>
    </row>
    <row r="20" spans="1:10" x14ac:dyDescent="0.2">
      <c r="A20" s="52" t="s">
        <v>38</v>
      </c>
      <c r="B20" s="23"/>
      <c r="C20" s="76">
        <v>1250</v>
      </c>
      <c r="D20" s="76">
        <v>500</v>
      </c>
      <c r="E20" s="77">
        <f>C20+D20</f>
        <v>1750</v>
      </c>
      <c r="F20" s="98">
        <v>70</v>
      </c>
      <c r="G20" s="97">
        <f>B36*F20</f>
        <v>1750</v>
      </c>
    </row>
    <row r="21" spans="1:10" x14ac:dyDescent="0.2">
      <c r="A21" s="130" t="s">
        <v>60</v>
      </c>
      <c r="B21" s="41"/>
      <c r="C21" s="66">
        <v>1000</v>
      </c>
      <c r="D21" s="72">
        <v>2000</v>
      </c>
      <c r="E21" s="68">
        <f>C21+D21</f>
        <v>3000</v>
      </c>
      <c r="F21" s="5"/>
      <c r="G21" s="23"/>
    </row>
    <row r="22" spans="1:10" ht="13.5" thickBot="1" x14ac:dyDescent="0.25">
      <c r="A22" s="42" t="s">
        <v>29</v>
      </c>
      <c r="B22" s="43"/>
      <c r="C22" s="61">
        <f>SUM(C19:C21)</f>
        <v>2250</v>
      </c>
      <c r="D22" s="80">
        <f>SUM(D19:D21)</f>
        <v>2500</v>
      </c>
      <c r="E22" s="61">
        <f>SUM(C22:D22)</f>
        <v>4750</v>
      </c>
      <c r="F22" s="5"/>
      <c r="G22" s="23"/>
    </row>
    <row r="23" spans="1:10" x14ac:dyDescent="0.2">
      <c r="C23" s="78"/>
      <c r="D23" s="116" t="s">
        <v>56</v>
      </c>
      <c r="E23" s="78"/>
      <c r="F23" s="5"/>
      <c r="G23" s="23"/>
    </row>
    <row r="24" spans="1:10" s="17" customFormat="1" ht="13.5" thickBot="1" x14ac:dyDescent="0.25">
      <c r="A24" s="30" t="s">
        <v>25</v>
      </c>
      <c r="B24" s="30"/>
      <c r="C24" s="113">
        <f>(SUM(C5:C6))+C10+(SUM(C11:C13))+C17+C18+C22</f>
        <v>68646</v>
      </c>
      <c r="D24" s="117">
        <f>(SUM(D5:D6))+D10+(SUM(D11:D13))+D17+D18+D22</f>
        <v>70861</v>
      </c>
      <c r="E24" s="114">
        <f>C24+D24</f>
        <v>139507</v>
      </c>
      <c r="F24" s="24"/>
      <c r="G24" s="9"/>
    </row>
    <row r="25" spans="1:10" s="17" customFormat="1" x14ac:dyDescent="0.2">
      <c r="A25" s="15"/>
      <c r="B25" s="15"/>
      <c r="C25" s="16"/>
      <c r="E25" s="16"/>
      <c r="F25" s="18"/>
      <c r="G25" s="9"/>
    </row>
    <row r="26" spans="1:10" s="17" customFormat="1" ht="7.5" customHeight="1" x14ac:dyDescent="0.2">
      <c r="A26" s="15"/>
      <c r="B26" s="15"/>
      <c r="C26" s="16"/>
      <c r="D26" s="28"/>
      <c r="E26" s="16"/>
      <c r="F26" s="18"/>
      <c r="G26" s="9"/>
    </row>
    <row r="27" spans="1:10" s="17" customFormat="1" x14ac:dyDescent="0.2">
      <c r="A27" s="6" t="s">
        <v>3</v>
      </c>
      <c r="B27" s="6"/>
      <c r="C27" s="7"/>
      <c r="D27" s="7"/>
      <c r="E27" s="8"/>
      <c r="F27" s="16"/>
      <c r="H27" s="132" t="s">
        <v>57</v>
      </c>
      <c r="I27" s="133"/>
    </row>
    <row r="28" spans="1:10" s="9" customFormat="1" x14ac:dyDescent="0.2">
      <c r="A28" s="44" t="s">
        <v>10</v>
      </c>
      <c r="B28" s="45" t="s">
        <v>26</v>
      </c>
      <c r="C28" s="49"/>
      <c r="D28" s="49"/>
      <c r="E28" s="48"/>
      <c r="F28" s="50" t="s">
        <v>35</v>
      </c>
      <c r="G28" s="53" t="s">
        <v>39</v>
      </c>
      <c r="H28" s="134" t="s">
        <v>64</v>
      </c>
      <c r="I28" s="126" t="s">
        <v>40</v>
      </c>
      <c r="J28" s="54" t="s">
        <v>44</v>
      </c>
    </row>
    <row r="29" spans="1:10" x14ac:dyDescent="0.2">
      <c r="A29" t="s">
        <v>51</v>
      </c>
      <c r="B29" s="22">
        <v>15</v>
      </c>
      <c r="C29" s="79">
        <v>268855</v>
      </c>
      <c r="D29" s="79">
        <v>11645</v>
      </c>
      <c r="E29" s="80">
        <f t="shared" ref="E29:E35" si="0">SUM(C29:D29)</f>
        <v>280500</v>
      </c>
      <c r="F29" s="78">
        <f>B29*H29</f>
        <v>280500</v>
      </c>
      <c r="G29" s="78">
        <f>B29*I29</f>
        <v>561000</v>
      </c>
      <c r="H29" s="135">
        <v>18700</v>
      </c>
      <c r="I29" s="127">
        <v>37400</v>
      </c>
      <c r="J29" s="94">
        <f>H29/1700</f>
        <v>11</v>
      </c>
    </row>
    <row r="30" spans="1:10" x14ac:dyDescent="0.2">
      <c r="A30" s="105" t="s">
        <v>50</v>
      </c>
      <c r="B30" s="22">
        <v>0</v>
      </c>
      <c r="C30" s="76">
        <v>0</v>
      </c>
      <c r="D30" s="76">
        <v>0</v>
      </c>
      <c r="E30" s="81">
        <f t="shared" si="0"/>
        <v>0</v>
      </c>
      <c r="F30" s="138">
        <f>B30*H30</f>
        <v>0</v>
      </c>
      <c r="G30" s="78">
        <f t="shared" ref="G29:G35" si="1">B30*I30</f>
        <v>0</v>
      </c>
      <c r="H30" s="136">
        <f>J29*1200</f>
        <v>13200</v>
      </c>
      <c r="I30" s="127">
        <v>26180</v>
      </c>
    </row>
    <row r="31" spans="1:10" x14ac:dyDescent="0.2">
      <c r="A31" s="105" t="s">
        <v>52</v>
      </c>
      <c r="B31" s="22">
        <v>10</v>
      </c>
      <c r="C31" s="76">
        <v>88050</v>
      </c>
      <c r="D31" s="76">
        <v>10950</v>
      </c>
      <c r="E31" s="81">
        <f t="shared" si="0"/>
        <v>99000</v>
      </c>
      <c r="F31" s="138">
        <f>B31*H31</f>
        <v>99000</v>
      </c>
      <c r="G31" s="78">
        <f>B31*I31</f>
        <v>187000</v>
      </c>
      <c r="H31" s="136">
        <f>J29*900</f>
        <v>9900</v>
      </c>
      <c r="I31" s="127">
        <v>18700</v>
      </c>
    </row>
    <row r="32" spans="1:10" x14ac:dyDescent="0.2">
      <c r="A32" s="19" t="s">
        <v>53</v>
      </c>
      <c r="B32" s="22">
        <v>0</v>
      </c>
      <c r="C32" s="76">
        <v>0</v>
      </c>
      <c r="D32" s="76">
        <v>0</v>
      </c>
      <c r="E32" s="81">
        <f t="shared" si="0"/>
        <v>0</v>
      </c>
      <c r="F32" s="138">
        <f t="shared" ref="F32:F35" si="2">B32*H32</f>
        <v>0</v>
      </c>
      <c r="G32" s="78">
        <f t="shared" si="1"/>
        <v>0</v>
      </c>
      <c r="H32" s="136">
        <f>J29*675</f>
        <v>7425</v>
      </c>
      <c r="I32" s="127">
        <v>14212</v>
      </c>
    </row>
    <row r="33" spans="1:9" x14ac:dyDescent="0.2">
      <c r="A33" s="19" t="s">
        <v>54</v>
      </c>
      <c r="B33" s="22">
        <v>0</v>
      </c>
      <c r="C33" s="76">
        <v>0</v>
      </c>
      <c r="D33" s="76">
        <v>0</v>
      </c>
      <c r="E33" s="81">
        <f t="shared" si="0"/>
        <v>0</v>
      </c>
      <c r="F33" s="138">
        <f t="shared" si="2"/>
        <v>0</v>
      </c>
      <c r="G33" s="78">
        <f t="shared" si="1"/>
        <v>0</v>
      </c>
      <c r="H33" s="136">
        <f>J29*450</f>
        <v>4950</v>
      </c>
      <c r="I33" s="127">
        <v>9724</v>
      </c>
    </row>
    <row r="34" spans="1:9" x14ac:dyDescent="0.2">
      <c r="A34" s="19" t="s">
        <v>55</v>
      </c>
      <c r="B34" s="22">
        <v>0</v>
      </c>
      <c r="C34" s="76">
        <v>0</v>
      </c>
      <c r="D34" s="76">
        <v>0</v>
      </c>
      <c r="E34" s="81">
        <f t="shared" si="0"/>
        <v>0</v>
      </c>
      <c r="F34" s="138">
        <f t="shared" si="2"/>
        <v>0</v>
      </c>
      <c r="G34" s="78">
        <f t="shared" si="1"/>
        <v>0</v>
      </c>
      <c r="H34" s="136">
        <f>J29*300</f>
        <v>3300</v>
      </c>
      <c r="I34" s="127">
        <v>7854</v>
      </c>
    </row>
    <row r="35" spans="1:9" x14ac:dyDescent="0.2">
      <c r="A35" s="106" t="s">
        <v>49</v>
      </c>
      <c r="B35" s="46">
        <v>0</v>
      </c>
      <c r="C35" s="66">
        <v>0</v>
      </c>
      <c r="D35" s="66">
        <v>0</v>
      </c>
      <c r="E35" s="82">
        <f t="shared" si="0"/>
        <v>0</v>
      </c>
      <c r="F35" s="138">
        <f t="shared" si="2"/>
        <v>0</v>
      </c>
      <c r="G35" s="78">
        <f t="shared" si="1"/>
        <v>0</v>
      </c>
      <c r="H35" s="137">
        <f>J29*100</f>
        <v>1100</v>
      </c>
      <c r="I35" s="128">
        <v>2244</v>
      </c>
    </row>
    <row r="36" spans="1:9" x14ac:dyDescent="0.2">
      <c r="A36" s="20" t="s">
        <v>30</v>
      </c>
      <c r="B36" s="2">
        <f>SUM(B29:B35)</f>
        <v>25</v>
      </c>
      <c r="C36" s="78">
        <f>SUM(C29:C35)</f>
        <v>356905</v>
      </c>
      <c r="D36" s="78">
        <f>SUM(D29:D35)</f>
        <v>22595</v>
      </c>
      <c r="E36" s="78">
        <f>C36+D36</f>
        <v>379500</v>
      </c>
      <c r="F36" s="5"/>
      <c r="G36" s="23"/>
      <c r="H36" t="s">
        <v>65</v>
      </c>
    </row>
    <row r="37" spans="1:9" x14ac:dyDescent="0.2">
      <c r="A37" s="47" t="s">
        <v>11</v>
      </c>
      <c r="B37" s="39"/>
      <c r="C37" s="83"/>
      <c r="D37" s="83"/>
      <c r="E37" s="83"/>
      <c r="F37" s="5"/>
      <c r="G37" s="23"/>
    </row>
    <row r="38" spans="1:9" x14ac:dyDescent="0.2">
      <c r="A38" s="34" t="s">
        <v>2</v>
      </c>
      <c r="B38" s="23"/>
      <c r="C38" s="81">
        <f>C36*0.0765</f>
        <v>27303</v>
      </c>
      <c r="D38" s="81">
        <f>(D36*0.0765)</f>
        <v>1729</v>
      </c>
      <c r="E38" s="81">
        <f>C38+D38</f>
        <v>29032</v>
      </c>
      <c r="F38" s="95" t="s">
        <v>46</v>
      </c>
      <c r="G38" s="96" t="s">
        <v>1</v>
      </c>
    </row>
    <row r="39" spans="1:9" x14ac:dyDescent="0.2">
      <c r="A39" s="52" t="s">
        <v>41</v>
      </c>
      <c r="B39" s="23"/>
      <c r="C39" s="76">
        <v>4160</v>
      </c>
      <c r="D39" s="76">
        <v>1840</v>
      </c>
      <c r="E39" s="81">
        <f>SUM(C39:D39)</f>
        <v>6000</v>
      </c>
      <c r="F39" s="99">
        <v>20</v>
      </c>
      <c r="G39" s="93">
        <f>B36*F39*12</f>
        <v>6000</v>
      </c>
    </row>
    <row r="40" spans="1:9" x14ac:dyDescent="0.2">
      <c r="A40" s="36" t="s">
        <v>59</v>
      </c>
      <c r="B40" s="41"/>
      <c r="C40" s="66">
        <v>18000</v>
      </c>
      <c r="D40" s="66">
        <v>3600</v>
      </c>
      <c r="E40" s="82">
        <f>SUM(C40:D40)</f>
        <v>21600</v>
      </c>
      <c r="F40" s="100">
        <v>150</v>
      </c>
      <c r="G40" s="92">
        <f>(B29*0.8)*F40*12</f>
        <v>21600</v>
      </c>
    </row>
    <row r="41" spans="1:9" ht="13.5" thickBot="1" x14ac:dyDescent="0.25">
      <c r="A41" s="20" t="s">
        <v>30</v>
      </c>
      <c r="B41" s="2"/>
      <c r="C41" s="78">
        <f>SUM(C38:C40)</f>
        <v>49463</v>
      </c>
      <c r="D41" s="78">
        <f>SUM(D38:D40)</f>
        <v>7169</v>
      </c>
      <c r="E41" s="78">
        <f>C41+D41</f>
        <v>56632</v>
      </c>
      <c r="F41" s="5"/>
      <c r="G41" s="23"/>
    </row>
    <row r="42" spans="1:9" x14ac:dyDescent="0.2">
      <c r="C42" s="3"/>
      <c r="D42" s="112" t="s">
        <v>36</v>
      </c>
      <c r="E42" s="27"/>
      <c r="F42" s="5"/>
      <c r="G42" s="23"/>
    </row>
    <row r="43" spans="1:9" ht="13.5" thickBot="1" x14ac:dyDescent="0.25">
      <c r="A43" s="43" t="s">
        <v>4</v>
      </c>
      <c r="B43" s="43"/>
      <c r="C43" s="84">
        <f>SUM(C36+C41)</f>
        <v>406368</v>
      </c>
      <c r="D43" s="111">
        <f>SUM(D36+D41)</f>
        <v>29764</v>
      </c>
      <c r="E43" s="85">
        <f>C43+D43</f>
        <v>436132</v>
      </c>
      <c r="F43" s="11"/>
      <c r="G43" s="23"/>
    </row>
    <row r="44" spans="1:9" ht="7.5" customHeight="1" x14ac:dyDescent="0.2">
      <c r="C44" s="107"/>
      <c r="D44" s="110"/>
      <c r="E44" s="108"/>
      <c r="F44" s="5"/>
      <c r="G44" s="23"/>
    </row>
    <row r="45" spans="1:9" s="17" customFormat="1" x14ac:dyDescent="0.2">
      <c r="A45" s="6" t="s">
        <v>5</v>
      </c>
      <c r="B45" s="6"/>
      <c r="C45" s="131" t="s">
        <v>62</v>
      </c>
      <c r="D45" s="59" t="s">
        <v>31</v>
      </c>
      <c r="E45" s="109"/>
      <c r="F45" s="50" t="s">
        <v>42</v>
      </c>
      <c r="G45" s="54" t="s">
        <v>43</v>
      </c>
    </row>
    <row r="46" spans="1:9" s="17" customFormat="1" x14ac:dyDescent="0.2">
      <c r="A46" s="44" t="s">
        <v>6</v>
      </c>
      <c r="B46" s="33"/>
      <c r="C46" s="86">
        <v>24986</v>
      </c>
      <c r="D46" s="86">
        <v>57564</v>
      </c>
      <c r="E46" s="87">
        <f>C46+D46</f>
        <v>82550</v>
      </c>
      <c r="F46" s="90">
        <f>(C43+C24)*0.0526</f>
        <v>24986</v>
      </c>
      <c r="G46" s="91">
        <f>(E43+E24)*0.1</f>
        <v>57564</v>
      </c>
      <c r="I46" s="13"/>
    </row>
    <row r="47" spans="1:9" s="17" customFormat="1" ht="13.5" thickBot="1" x14ac:dyDescent="0.25">
      <c r="A47" s="36" t="s">
        <v>7</v>
      </c>
      <c r="B47" s="37"/>
      <c r="C47" s="67">
        <v>0</v>
      </c>
      <c r="D47" s="115">
        <v>0</v>
      </c>
      <c r="E47" s="73">
        <f>C47+D47</f>
        <v>0</v>
      </c>
      <c r="F47" s="16"/>
      <c r="G47" s="12"/>
    </row>
    <row r="48" spans="1:9" x14ac:dyDescent="0.2">
      <c r="C48" s="3"/>
      <c r="D48" s="118" t="s">
        <v>56</v>
      </c>
      <c r="E48" s="3"/>
    </row>
    <row r="49" spans="1:7" ht="13.5" thickBot="1" x14ac:dyDescent="0.25">
      <c r="A49" s="43" t="s">
        <v>8</v>
      </c>
      <c r="B49" s="43"/>
      <c r="C49" s="119">
        <f>SUM(C46:C47)</f>
        <v>24986</v>
      </c>
      <c r="D49" s="120">
        <f>SUM(D46:D47)</f>
        <v>57564</v>
      </c>
      <c r="E49" s="85">
        <f>C49+D49</f>
        <v>82550</v>
      </c>
    </row>
    <row r="50" spans="1:7" s="17" customFormat="1" ht="7.5" customHeight="1" thickBot="1" x14ac:dyDescent="0.25">
      <c r="A50" s="15"/>
      <c r="B50" s="15"/>
      <c r="C50" s="16"/>
      <c r="D50" s="28"/>
      <c r="E50" s="16"/>
      <c r="F50" s="18"/>
      <c r="G50" s="9"/>
    </row>
    <row r="51" spans="1:7" s="125" customFormat="1" ht="16.5" thickBot="1" x14ac:dyDescent="0.3">
      <c r="A51" s="121" t="s">
        <v>9</v>
      </c>
      <c r="B51" s="122"/>
      <c r="C51" s="123">
        <f>C43+C24+C49</f>
        <v>500000</v>
      </c>
      <c r="D51" s="123">
        <f>D43+D24+D49</f>
        <v>158189</v>
      </c>
      <c r="E51" s="123">
        <f>SUM(C51:D51)</f>
        <v>658189</v>
      </c>
      <c r="F51" s="124"/>
    </row>
    <row r="52" spans="1:7" ht="13.5" thickBot="1" x14ac:dyDescent="0.25">
      <c r="A52" s="19" t="s">
        <v>33</v>
      </c>
      <c r="C52" s="25">
        <f>C51/E51</f>
        <v>0.76</v>
      </c>
      <c r="D52" s="25">
        <f>D51/E51</f>
        <v>0.24</v>
      </c>
      <c r="E52" s="21"/>
    </row>
    <row r="53" spans="1:7" ht="11.25" customHeight="1" x14ac:dyDescent="0.2">
      <c r="A53" s="104" t="s">
        <v>48</v>
      </c>
      <c r="B53" s="57" t="s">
        <v>32</v>
      </c>
      <c r="D53" s="55" t="s">
        <v>34</v>
      </c>
    </row>
    <row r="54" spans="1:7" ht="13.5" thickBot="1" x14ac:dyDescent="0.25">
      <c r="B54" s="129">
        <f>B29+(B30*0.7)+(B31*0.5)+(B32*0.3809524)+(B33*0.26455027)+(B34*0.21164022)+(B35*0.05627705)</f>
        <v>20</v>
      </c>
      <c r="C54" s="88">
        <f>C51/B54</f>
        <v>25000</v>
      </c>
      <c r="D54" s="1" t="s">
        <v>66</v>
      </c>
    </row>
    <row r="55" spans="1:7" x14ac:dyDescent="0.2">
      <c r="B55" s="56"/>
      <c r="C55" s="103">
        <v>25000</v>
      </c>
      <c r="D55" s="58" t="s">
        <v>67</v>
      </c>
    </row>
    <row r="56" spans="1:7" x14ac:dyDescent="0.2">
      <c r="B56" s="56"/>
      <c r="C56" s="89">
        <f>B54*C55</f>
        <v>500000</v>
      </c>
      <c r="D56" s="58" t="s">
        <v>68</v>
      </c>
    </row>
    <row r="57" spans="1:7" x14ac:dyDescent="0.2">
      <c r="A57" s="101" t="s">
        <v>58</v>
      </c>
    </row>
    <row r="58" spans="1:7" x14ac:dyDescent="0.2">
      <c r="A58" s="102" t="s">
        <v>47</v>
      </c>
    </row>
  </sheetData>
  <phoneticPr fontId="0" type="noConversion"/>
  <pageMargins left="0.25" right="0.25" top="0.75" bottom="0.75" header="0.3" footer="0.3"/>
  <pageSetup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Corporation_Share</vt:lpstr>
      <vt:lpstr>Grantee_Share</vt:lpstr>
      <vt:lpstr>Total</vt:lpstr>
    </vt:vector>
  </TitlesOfParts>
  <Company>Dept. of Finance &amp; 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Snell</dc:creator>
  <cp:lastModifiedBy>Jim Snell</cp:lastModifiedBy>
  <cp:lastPrinted>2014-12-18T16:02:26Z</cp:lastPrinted>
  <dcterms:created xsi:type="dcterms:W3CDTF">1999-10-18T14:59:07Z</dcterms:created>
  <dcterms:modified xsi:type="dcterms:W3CDTF">2023-09-08T19:20:51Z</dcterms:modified>
</cp:coreProperties>
</file>