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03sdcwf00535\CB_Data\Fiscal\Fiscal Policy\STAY_OUT\FY2025-26\Reports\Legislative Action\Work Program\"/>
    </mc:Choice>
  </mc:AlternateContent>
  <xr:revisionPtr revIDLastSave="0" documentId="13_ncr:1_{18F4B2C3-217C-47E6-AA8D-36EF328365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6 Form Distr" sheetId="1" r:id="rId1"/>
    <sheet name="2025-26 SPU Distr" sheetId="2" r:id="rId2"/>
    <sheet name="SPU Salary" sheetId="3" state="hidden" r:id="rId3"/>
    <sheet name="Salary" sheetId="4" state="hidden" r:id="rId4"/>
  </sheets>
  <definedNames>
    <definedName name="A">#REF!</definedName>
    <definedName name="B">#REF!</definedName>
    <definedName name="cbh">#REF!</definedName>
    <definedName name="_xlnm.Print_Area" localSheetId="0">'2025-26 Form Distr'!$A$1:$P$27</definedName>
    <definedName name="_xlnm.Print_Area" localSheetId="1">'2025-26 SPU Distr'!$A$1:$O$90</definedName>
    <definedName name="russ">#REF!</definedName>
    <definedName name="SchedA">#REF!</definedName>
    <definedName name="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L8" i="2" l="1"/>
  <c r="L78" i="2"/>
  <c r="K78" i="2"/>
  <c r="O78" i="2" s="1"/>
  <c r="D78" i="2"/>
  <c r="D79" i="2"/>
  <c r="K79" i="2" s="1"/>
  <c r="L79" i="2"/>
  <c r="J66" i="2"/>
  <c r="I66" i="2"/>
  <c r="G66" i="2"/>
  <c r="F66" i="2"/>
  <c r="E66" i="2"/>
  <c r="O79" i="2" l="1"/>
  <c r="N79" i="2"/>
  <c r="M78" i="2"/>
  <c r="N78" i="2"/>
  <c r="M79" i="2"/>
  <c r="H22" i="2"/>
  <c r="M12" i="1"/>
  <c r="M21" i="1"/>
  <c r="J22" i="2" l="1"/>
  <c r="I22" i="2"/>
  <c r="L77" i="2" l="1"/>
  <c r="K51" i="2"/>
  <c r="A1" i="2" l="1"/>
  <c r="E10" i="2" l="1"/>
  <c r="E11" i="2"/>
  <c r="H21" i="1"/>
  <c r="C32" i="3" l="1"/>
  <c r="C31" i="3"/>
  <c r="C26" i="3"/>
  <c r="C25" i="3"/>
  <c r="C24" i="3"/>
  <c r="C23" i="3"/>
  <c r="C20" i="3"/>
  <c r="C21" i="3"/>
  <c r="C19" i="3"/>
  <c r="C18" i="3"/>
  <c r="C17" i="3"/>
  <c r="C16" i="3"/>
  <c r="C15" i="3"/>
  <c r="C12" i="3"/>
  <c r="C11" i="3"/>
  <c r="C10" i="3"/>
  <c r="C9" i="3"/>
  <c r="C8" i="3"/>
  <c r="C7" i="3"/>
  <c r="H4" i="4"/>
  <c r="B25" i="4"/>
  <c r="B21" i="4"/>
  <c r="H27" i="4"/>
  <c r="H24" i="4"/>
  <c r="H5" i="4"/>
  <c r="B29" i="4" l="1"/>
  <c r="H19" i="4"/>
  <c r="H9" i="4"/>
  <c r="B20" i="4"/>
  <c r="B24" i="4"/>
  <c r="B28" i="4"/>
  <c r="H6" i="4"/>
  <c r="H15" i="4"/>
  <c r="H26" i="4"/>
  <c r="B22" i="4"/>
  <c r="H14" i="4"/>
  <c r="H25" i="4"/>
  <c r="H20" i="4"/>
  <c r="H28" i="4"/>
  <c r="H8" i="4"/>
  <c r="H31" i="4"/>
  <c r="H23" i="4"/>
  <c r="B19" i="4"/>
  <c r="B23" i="4"/>
  <c r="B27" i="4"/>
  <c r="H13" i="4"/>
  <c r="H36" i="4"/>
  <c r="H22" i="4"/>
  <c r="H30" i="4"/>
  <c r="H7" i="4"/>
  <c r="H29" i="4"/>
  <c r="B26" i="4"/>
  <c r="B30" i="4"/>
  <c r="H21" i="4"/>
  <c r="B31" i="4"/>
  <c r="G24" i="4"/>
  <c r="G26" i="4"/>
  <c r="G19" i="4"/>
  <c r="G6" i="4"/>
  <c r="G28" i="4"/>
  <c r="G13" i="4"/>
  <c r="G14" i="4"/>
  <c r="G15" i="4"/>
  <c r="G9" i="4"/>
  <c r="G31" i="4"/>
  <c r="G23" i="4"/>
  <c r="G30" i="4"/>
  <c r="G22" i="4"/>
  <c r="G5" i="4"/>
  <c r="G29" i="4"/>
  <c r="G21" i="4"/>
  <c r="E32" i="4"/>
  <c r="H32" i="4" s="1"/>
  <c r="G4" i="4"/>
  <c r="G27" i="4"/>
  <c r="G36" i="4"/>
  <c r="G8" i="4"/>
  <c r="G25" i="4"/>
  <c r="G7" i="4"/>
  <c r="E10" i="4"/>
  <c r="E16" i="4"/>
  <c r="G20" i="4"/>
  <c r="H10" i="4" l="1"/>
  <c r="H16" i="4"/>
  <c r="E34" i="4"/>
  <c r="G10" i="4"/>
  <c r="G16" i="4"/>
  <c r="G32" i="4"/>
  <c r="E38" i="4"/>
  <c r="G38" i="4" l="1"/>
  <c r="G34" i="4"/>
  <c r="F16" i="4"/>
  <c r="F10" i="4"/>
  <c r="F34" i="4" l="1"/>
  <c r="H34" i="4" s="1"/>
  <c r="D10" i="4"/>
  <c r="C10" i="4"/>
  <c r="C16" i="4"/>
  <c r="D16" i="4"/>
  <c r="E13" i="1"/>
  <c r="B5" i="4"/>
  <c r="B6" i="4"/>
  <c r="B7" i="4"/>
  <c r="B8" i="4"/>
  <c r="B9" i="4"/>
  <c r="B13" i="4"/>
  <c r="B14" i="4"/>
  <c r="B15" i="4"/>
  <c r="B32" i="4"/>
  <c r="B36" i="4"/>
  <c r="B4" i="4"/>
  <c r="C34" i="4" l="1"/>
  <c r="C38" i="4" s="1"/>
  <c r="B16" i="4"/>
  <c r="B10" i="4"/>
  <c r="D34" i="4"/>
  <c r="F38" i="4"/>
  <c r="H38" i="4" s="1"/>
  <c r="H11" i="1"/>
  <c r="H10" i="1"/>
  <c r="H9" i="1"/>
  <c r="H12" i="1"/>
  <c r="H8" i="1"/>
  <c r="G8" i="2"/>
  <c r="G7" i="2"/>
  <c r="H25" i="1"/>
  <c r="G32" i="2"/>
  <c r="G30" i="2"/>
  <c r="H18" i="1"/>
  <c r="H17" i="1"/>
  <c r="H16" i="1"/>
  <c r="G11" i="2"/>
  <c r="G10" i="2"/>
  <c r="G16" i="2"/>
  <c r="G15" i="2"/>
  <c r="E19" i="1"/>
  <c r="E23" i="1" s="1"/>
  <c r="D38" i="4" l="1"/>
  <c r="B34" i="4"/>
  <c r="E27" i="1"/>
  <c r="B38" i="4" s="1"/>
  <c r="G21" i="2"/>
  <c r="G25" i="2"/>
  <c r="G26" i="2"/>
  <c r="G24" i="2"/>
  <c r="G23" i="2"/>
  <c r="G31" i="2"/>
  <c r="L76" i="2"/>
  <c r="D76" i="2"/>
  <c r="K76" i="2" s="1"/>
  <c r="D77" i="2"/>
  <c r="K77" i="2" s="1"/>
  <c r="J38" i="2"/>
  <c r="G12" i="2"/>
  <c r="C60" i="2"/>
  <c r="C61" i="2"/>
  <c r="D70" i="2"/>
  <c r="D35" i="2"/>
  <c r="F12" i="2"/>
  <c r="B12" i="3" s="1"/>
  <c r="B8" i="3"/>
  <c r="D8" i="3" s="1"/>
  <c r="B9" i="3"/>
  <c r="D9" i="3" s="1"/>
  <c r="B10" i="3"/>
  <c r="D10" i="3" s="1"/>
  <c r="B11" i="3"/>
  <c r="D11" i="3" s="1"/>
  <c r="B15" i="3"/>
  <c r="D15" i="3" s="1"/>
  <c r="B16" i="3"/>
  <c r="D16" i="3" s="1"/>
  <c r="B17" i="3"/>
  <c r="D17" i="3" s="1"/>
  <c r="B18" i="3"/>
  <c r="D18" i="3" s="1"/>
  <c r="B19" i="3"/>
  <c r="D19" i="3" s="1"/>
  <c r="B20" i="3"/>
  <c r="D20" i="3" s="1"/>
  <c r="B21" i="3"/>
  <c r="D21" i="3" s="1"/>
  <c r="B23" i="3"/>
  <c r="D23" i="3" s="1"/>
  <c r="B24" i="3"/>
  <c r="D24" i="3" s="1"/>
  <c r="B25" i="3"/>
  <c r="D25" i="3" s="1"/>
  <c r="B26" i="3"/>
  <c r="D26" i="3" s="1"/>
  <c r="B30" i="3"/>
  <c r="D30" i="3" s="1"/>
  <c r="B31" i="3"/>
  <c r="B32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7" i="3"/>
  <c r="B68" i="3"/>
  <c r="B69" i="3"/>
  <c r="B70" i="3"/>
  <c r="B71" i="3"/>
  <c r="B72" i="3"/>
  <c r="B73" i="3"/>
  <c r="B74" i="3"/>
  <c r="B75" i="3"/>
  <c r="B77" i="3"/>
  <c r="B79" i="3"/>
  <c r="B80" i="3"/>
  <c r="B81" i="3"/>
  <c r="B82" i="3"/>
  <c r="B83" i="3"/>
  <c r="B84" i="3"/>
  <c r="B85" i="3"/>
  <c r="B7" i="3"/>
  <c r="A1" i="3"/>
  <c r="B66" i="2" l="1"/>
  <c r="O76" i="2"/>
  <c r="N76" i="2"/>
  <c r="N77" i="2"/>
  <c r="O77" i="2"/>
  <c r="M77" i="2"/>
  <c r="M76" i="2"/>
  <c r="D7" i="3"/>
  <c r="D12" i="3"/>
  <c r="B80" i="2" l="1"/>
  <c r="C66" i="2"/>
  <c r="D66" i="2" s="1"/>
  <c r="C62" i="2"/>
  <c r="G22" i="2" l="1"/>
  <c r="G27" i="2" s="1"/>
  <c r="C80" i="2"/>
  <c r="C33" i="2" l="1"/>
  <c r="L9" i="2"/>
  <c r="L51" i="2"/>
  <c r="F38" i="2"/>
  <c r="B38" i="3" s="1"/>
  <c r="G38" i="2"/>
  <c r="H38" i="2"/>
  <c r="I38" i="2"/>
  <c r="C22" i="2"/>
  <c r="H13" i="1"/>
  <c r="M51" i="2" l="1"/>
  <c r="N51" i="2"/>
  <c r="F22" i="2" l="1"/>
  <c r="D67" i="2"/>
  <c r="D60" i="2"/>
  <c r="D37" i="2"/>
  <c r="D38" i="2"/>
  <c r="D7" i="2"/>
  <c r="D9" i="2"/>
  <c r="K9" i="2" s="1"/>
  <c r="K7" i="2" l="1"/>
  <c r="B22" i="3"/>
  <c r="D22" i="3" s="1"/>
  <c r="F27" i="2"/>
  <c r="B27" i="3" s="1"/>
  <c r="D27" i="3" s="1"/>
  <c r="B27" i="2"/>
  <c r="M9" i="2"/>
  <c r="N9" i="2"/>
  <c r="O9" i="2"/>
  <c r="B53" i="2"/>
  <c r="M7" i="1" l="1"/>
  <c r="L40" i="2" l="1"/>
  <c r="D40" i="2"/>
  <c r="K40" i="2" s="1"/>
  <c r="M40" i="2" l="1"/>
  <c r="N40" i="2" l="1"/>
  <c r="L71" i="2"/>
  <c r="D71" i="2"/>
  <c r="L70" i="2"/>
  <c r="F13" i="1"/>
  <c r="G13" i="1"/>
  <c r="K70" i="2" l="1"/>
  <c r="N70" i="2" s="1"/>
  <c r="K71" i="2"/>
  <c r="M71" i="2" s="1"/>
  <c r="M70" i="2" l="1"/>
  <c r="N71" i="2"/>
  <c r="L75" i="2" l="1"/>
  <c r="I80" i="2"/>
  <c r="H12" i="2"/>
  <c r="H27" i="2"/>
  <c r="H33" i="2"/>
  <c r="H66" i="2"/>
  <c r="H80" i="2" l="1"/>
  <c r="K66" i="2"/>
  <c r="H53" i="2"/>
  <c r="H55" i="2" s="1"/>
  <c r="E38" i="2"/>
  <c r="K38" i="2" s="1"/>
  <c r="L52" i="2"/>
  <c r="D52" i="2"/>
  <c r="K52" i="2" s="1"/>
  <c r="N52" i="2" l="1"/>
  <c r="M52" i="2" l="1"/>
  <c r="L30" i="2"/>
  <c r="D30" i="2" l="1"/>
  <c r="K30" i="2" l="1"/>
  <c r="O30" i="2" l="1"/>
  <c r="M30" i="2"/>
  <c r="N30" i="2"/>
  <c r="L7" i="2" l="1"/>
  <c r="L84" i="2" l="1"/>
  <c r="D75" i="2"/>
  <c r="L50" i="2" l="1"/>
  <c r="L74" i="2"/>
  <c r="L73" i="2"/>
  <c r="L72" i="2"/>
  <c r="L69" i="2"/>
  <c r="L68" i="2"/>
  <c r="K75" i="2" l="1"/>
  <c r="L24" i="2"/>
  <c r="J27" i="2"/>
  <c r="I27" i="2"/>
  <c r="E27" i="2"/>
  <c r="C27" i="2"/>
  <c r="L23" i="2"/>
  <c r="M75" i="2" l="1"/>
  <c r="O75" i="2"/>
  <c r="L22" i="2"/>
  <c r="L49" i="2" l="1"/>
  <c r="L86" i="2" l="1"/>
  <c r="D86" i="2"/>
  <c r="K86" i="2" l="1"/>
  <c r="N86" i="2" l="1"/>
  <c r="M86" i="2"/>
  <c r="L43" i="2" l="1"/>
  <c r="L42" i="2"/>
  <c r="L41" i="2"/>
  <c r="E12" i="2" l="1"/>
  <c r="I12" i="2"/>
  <c r="J12" i="2"/>
  <c r="L88" i="2"/>
  <c r="L67" i="2"/>
  <c r="L66" i="2" s="1"/>
  <c r="L65" i="2"/>
  <c r="L64" i="2"/>
  <c r="L63" i="2"/>
  <c r="L62" i="2"/>
  <c r="L61" i="2"/>
  <c r="L60" i="2"/>
  <c r="L47" i="2"/>
  <c r="L46" i="2"/>
  <c r="L45" i="2"/>
  <c r="L44" i="2"/>
  <c r="L39" i="2"/>
  <c r="L37" i="2"/>
  <c r="L36" i="2"/>
  <c r="L35" i="2"/>
  <c r="L34" i="2"/>
  <c r="L32" i="2"/>
  <c r="L31" i="2"/>
  <c r="L26" i="2"/>
  <c r="L25" i="2"/>
  <c r="L21" i="2"/>
  <c r="L20" i="2"/>
  <c r="L19" i="2"/>
  <c r="L18" i="2"/>
  <c r="L17" i="2"/>
  <c r="L16" i="2"/>
  <c r="L15" i="2"/>
  <c r="L11" i="2"/>
  <c r="L10" i="2"/>
  <c r="M25" i="1"/>
  <c r="M18" i="1"/>
  <c r="M17" i="1"/>
  <c r="M16" i="1"/>
  <c r="M11" i="1"/>
  <c r="M10" i="1"/>
  <c r="M9" i="1"/>
  <c r="M8" i="1"/>
  <c r="L27" i="2" l="1"/>
  <c r="C12" i="2"/>
  <c r="L12" i="2"/>
  <c r="J80" i="2"/>
  <c r="E80" i="2"/>
  <c r="L80" i="2"/>
  <c r="G80" i="2" l="1"/>
  <c r="M66" i="2"/>
  <c r="F80" i="2"/>
  <c r="B76" i="3" s="1"/>
  <c r="B66" i="3"/>
  <c r="N75" i="2" l="1"/>
  <c r="L48" i="2" l="1"/>
  <c r="L38" i="2" s="1"/>
  <c r="C53" i="2"/>
  <c r="E33" i="2" l="1"/>
  <c r="E53" i="2" s="1"/>
  <c r="E55" i="2" s="1"/>
  <c r="F33" i="2"/>
  <c r="B33" i="3" s="1"/>
  <c r="G33" i="2"/>
  <c r="G53" i="2" s="1"/>
  <c r="G55" i="2" s="1"/>
  <c r="I33" i="2"/>
  <c r="I53" i="2" s="1"/>
  <c r="J33" i="2"/>
  <c r="J53" i="2" s="1"/>
  <c r="I13" i="1"/>
  <c r="J13" i="1"/>
  <c r="K13" i="1"/>
  <c r="I19" i="1"/>
  <c r="F19" i="1"/>
  <c r="G19" i="1"/>
  <c r="G23" i="1" s="1"/>
  <c r="J19" i="1"/>
  <c r="K19" i="1"/>
  <c r="F53" i="2" l="1"/>
  <c r="B53" i="3" s="1"/>
  <c r="K23" i="1"/>
  <c r="K27" i="1" s="1"/>
  <c r="L33" i="2"/>
  <c r="L53" i="2" s="1"/>
  <c r="C55" i="2"/>
  <c r="J55" i="2"/>
  <c r="I55" i="2"/>
  <c r="F23" i="1"/>
  <c r="F27" i="1" s="1"/>
  <c r="I23" i="1"/>
  <c r="I27" i="1" s="1"/>
  <c r="J23" i="1"/>
  <c r="J27" i="1" s="1"/>
  <c r="M13" i="1"/>
  <c r="M19" i="1"/>
  <c r="G27" i="1"/>
  <c r="H19" i="1"/>
  <c r="F55" i="2" l="1"/>
  <c r="B55" i="3" s="1"/>
  <c r="H57" i="2"/>
  <c r="H82" i="2" s="1"/>
  <c r="H90" i="2" s="1"/>
  <c r="M23" i="1"/>
  <c r="M27" i="1" s="1"/>
  <c r="J57" i="2"/>
  <c r="L55" i="2"/>
  <c r="I57" i="2"/>
  <c r="E57" i="2"/>
  <c r="E82" i="2" s="1"/>
  <c r="H23" i="1"/>
  <c r="F57" i="2" l="1"/>
  <c r="B57" i="3" s="1"/>
  <c r="H27" i="1"/>
  <c r="G57" i="2" s="1"/>
  <c r="G82" i="2" s="1"/>
  <c r="G90" i="2" s="1"/>
  <c r="E90" i="2"/>
  <c r="I82" i="2"/>
  <c r="I90" i="2" s="1"/>
  <c r="L57" i="2"/>
  <c r="L82" i="2" s="1"/>
  <c r="L90" i="2" s="1"/>
  <c r="J82" i="2"/>
  <c r="J90" i="2" s="1"/>
  <c r="F82" i="2" l="1"/>
  <c r="B78" i="3" s="1"/>
  <c r="F90" i="2"/>
  <c r="B86" i="3" s="1"/>
  <c r="D72" i="2" l="1"/>
  <c r="D69" i="2"/>
  <c r="D68" i="2"/>
  <c r="D73" i="2"/>
  <c r="D84" i="2"/>
  <c r="D74" i="2"/>
  <c r="K68" i="2" l="1"/>
  <c r="O68" i="2" s="1"/>
  <c r="K84" i="2"/>
  <c r="K72" i="2"/>
  <c r="K74" i="2"/>
  <c r="O74" i="2" s="1"/>
  <c r="K73" i="2"/>
  <c r="O73" i="2" s="1"/>
  <c r="K69" i="2"/>
  <c r="O69" i="2" s="1"/>
  <c r="M73" i="2" l="1"/>
  <c r="N73" i="2"/>
  <c r="M72" i="2"/>
  <c r="N72" i="2"/>
  <c r="M69" i="2"/>
  <c r="N69" i="2"/>
  <c r="M74" i="2"/>
  <c r="N74" i="2"/>
  <c r="N84" i="2"/>
  <c r="M84" i="2"/>
  <c r="O84" i="2"/>
  <c r="N68" i="2"/>
  <c r="M68" i="2"/>
  <c r="K67" i="2" l="1"/>
  <c r="M67" i="2" l="1"/>
  <c r="O67" i="2"/>
  <c r="N67" i="2"/>
  <c r="N66" i="2" s="1"/>
  <c r="O66" i="2"/>
  <c r="D50" i="2"/>
  <c r="K50" i="2" s="1"/>
  <c r="N50" i="2" l="1"/>
  <c r="M50" i="2"/>
  <c r="D49" i="2" l="1"/>
  <c r="K49" i="2" l="1"/>
  <c r="N49" i="2" l="1"/>
  <c r="M49" i="2"/>
  <c r="D43" i="2" l="1"/>
  <c r="D41" i="2"/>
  <c r="D42" i="2"/>
  <c r="D45" i="2"/>
  <c r="D47" i="2"/>
  <c r="D44" i="2"/>
  <c r="D46" i="2"/>
  <c r="K44" i="2" l="1"/>
  <c r="K46" i="2"/>
  <c r="K45" i="2"/>
  <c r="K41" i="2"/>
  <c r="K47" i="2"/>
  <c r="K42" i="2"/>
  <c r="K43" i="2"/>
  <c r="N44" i="2" l="1"/>
  <c r="M44" i="2"/>
  <c r="O44" i="2"/>
  <c r="O42" i="2"/>
  <c r="N42" i="2"/>
  <c r="M42" i="2"/>
  <c r="M46" i="2"/>
  <c r="N46" i="2"/>
  <c r="N43" i="2"/>
  <c r="O43" i="2"/>
  <c r="M43" i="2"/>
  <c r="O45" i="2"/>
  <c r="N45" i="2"/>
  <c r="M45" i="2"/>
  <c r="O41" i="2"/>
  <c r="M41" i="2"/>
  <c r="N41" i="2"/>
  <c r="N47" i="2"/>
  <c r="M47" i="2"/>
  <c r="D48" i="2" l="1"/>
  <c r="K48" i="2" l="1"/>
  <c r="K37" i="2"/>
  <c r="D88" i="2" l="1"/>
  <c r="N48" i="2"/>
  <c r="M48" i="2"/>
  <c r="N37" i="2"/>
  <c r="M37" i="2"/>
  <c r="O37" i="2"/>
  <c r="K88" i="2" l="1"/>
  <c r="O88" i="2" l="1"/>
  <c r="N88" i="2"/>
  <c r="M88" i="2"/>
  <c r="D34" i="2" l="1"/>
  <c r="D65" i="2"/>
  <c r="D63" i="2"/>
  <c r="D64" i="2"/>
  <c r="D62" i="2"/>
  <c r="K64" i="2" l="1"/>
  <c r="K62" i="2"/>
  <c r="K63" i="2"/>
  <c r="K65" i="2"/>
  <c r="K34" i="2"/>
  <c r="N63" i="2" l="1"/>
  <c r="O63" i="2"/>
  <c r="M63" i="2"/>
  <c r="N62" i="2"/>
  <c r="M62" i="2"/>
  <c r="O62" i="2"/>
  <c r="N34" i="2"/>
  <c r="O34" i="2"/>
  <c r="M34" i="2"/>
  <c r="N65" i="2"/>
  <c r="O65" i="2"/>
  <c r="M65" i="2"/>
  <c r="O64" i="2"/>
  <c r="M64" i="2"/>
  <c r="N64" i="2"/>
  <c r="D24" i="2" l="1"/>
  <c r="K24" i="2" l="1"/>
  <c r="D23" i="2"/>
  <c r="D22" i="2" l="1"/>
  <c r="K23" i="2"/>
  <c r="K22" i="2" s="1"/>
  <c r="M24" i="2"/>
  <c r="N24" i="2"/>
  <c r="O24" i="2"/>
  <c r="N23" i="2" l="1"/>
  <c r="N22" i="2" s="1"/>
  <c r="O23" i="2"/>
  <c r="M23" i="2"/>
  <c r="D10" i="2" l="1"/>
  <c r="O22" i="2"/>
  <c r="M22" i="2"/>
  <c r="K10" i="2" l="1"/>
  <c r="D11" i="2" l="1"/>
  <c r="M10" i="2"/>
  <c r="O10" i="2"/>
  <c r="N10" i="2"/>
  <c r="K11" i="2" l="1"/>
  <c r="O11" i="2" l="1"/>
  <c r="N11" i="2"/>
  <c r="M11" i="2"/>
  <c r="D39" i="2" l="1"/>
  <c r="K39" i="2" s="1"/>
  <c r="O38" i="2" l="1"/>
  <c r="O39" i="2"/>
  <c r="N39" i="2"/>
  <c r="N38" i="2" s="1"/>
  <c r="M39" i="2"/>
  <c r="M38" i="2" l="1"/>
  <c r="D16" i="2"/>
  <c r="D25" i="2"/>
  <c r="D20" i="2"/>
  <c r="D26" i="2"/>
  <c r="D18" i="2"/>
  <c r="D61" i="2"/>
  <c r="D17" i="2"/>
  <c r="D31" i="2"/>
  <c r="D25" i="1"/>
  <c r="D21" i="2"/>
  <c r="D32" i="2"/>
  <c r="D8" i="2"/>
  <c r="K8" i="2" s="1"/>
  <c r="B13" i="1"/>
  <c r="D19" i="2"/>
  <c r="B19" i="1"/>
  <c r="K31" i="2" l="1"/>
  <c r="K16" i="2"/>
  <c r="K17" i="2"/>
  <c r="L25" i="1"/>
  <c r="O25" i="1" s="1"/>
  <c r="B23" i="1"/>
  <c r="B27" i="1" s="1"/>
  <c r="K19" i="2"/>
  <c r="B12" i="2"/>
  <c r="K21" i="2"/>
  <c r="K20" i="2"/>
  <c r="K32" i="2"/>
  <c r="K26" i="2"/>
  <c r="K18" i="2"/>
  <c r="K25" i="2"/>
  <c r="K61" i="2"/>
  <c r="N7" i="2" l="1"/>
  <c r="N25" i="1"/>
  <c r="P25" i="1"/>
  <c r="D12" i="2"/>
  <c r="O31" i="2"/>
  <c r="N31" i="2"/>
  <c r="M31" i="2"/>
  <c r="N61" i="2"/>
  <c r="M61" i="2"/>
  <c r="O61" i="2"/>
  <c r="N17" i="2"/>
  <c r="O17" i="2"/>
  <c r="M17" i="2"/>
  <c r="M8" i="2"/>
  <c r="O8" i="2"/>
  <c r="N8" i="2"/>
  <c r="O16" i="2"/>
  <c r="N16" i="2"/>
  <c r="M16" i="2"/>
  <c r="M18" i="2"/>
  <c r="O18" i="2"/>
  <c r="N18" i="2"/>
  <c r="O20" i="2"/>
  <c r="N20" i="2"/>
  <c r="M20" i="2"/>
  <c r="O21" i="2"/>
  <c r="M21" i="2"/>
  <c r="N21" i="2"/>
  <c r="K35" i="2"/>
  <c r="M25" i="2"/>
  <c r="O25" i="2"/>
  <c r="N25" i="2"/>
  <c r="D80" i="2"/>
  <c r="K60" i="2"/>
  <c r="D15" i="2"/>
  <c r="M26" i="2"/>
  <c r="O26" i="2"/>
  <c r="N26" i="2"/>
  <c r="N32" i="2"/>
  <c r="O32" i="2"/>
  <c r="M32" i="2"/>
  <c r="N19" i="2"/>
  <c r="O19" i="2"/>
  <c r="M19" i="2"/>
  <c r="D27" i="2" l="1"/>
  <c r="N12" i="2"/>
  <c r="K15" i="2"/>
  <c r="K27" i="2" s="1"/>
  <c r="K80" i="2"/>
  <c r="O80" i="2" s="1"/>
  <c r="O60" i="2"/>
  <c r="N60" i="2"/>
  <c r="N80" i="2" s="1"/>
  <c r="M60" i="2"/>
  <c r="N35" i="2"/>
  <c r="O35" i="2"/>
  <c r="M35" i="2"/>
  <c r="M7" i="2"/>
  <c r="K12" i="2"/>
  <c r="O7" i="2"/>
  <c r="M12" i="2" l="1"/>
  <c r="O12" i="2"/>
  <c r="M80" i="2"/>
  <c r="N15" i="2"/>
  <c r="N27" i="2" s="1"/>
  <c r="O15" i="2"/>
  <c r="M15" i="2"/>
  <c r="O27" i="2"/>
  <c r="M27" i="2" l="1"/>
  <c r="D36" i="2" l="1"/>
  <c r="D33" i="2" s="1"/>
  <c r="B55" i="2"/>
  <c r="B57" i="2" s="1"/>
  <c r="B82" i="2" s="1"/>
  <c r="B90" i="2" l="1"/>
  <c r="K36" i="2"/>
  <c r="K33" i="2" s="1"/>
  <c r="D53" i="2" l="1"/>
  <c r="N36" i="2"/>
  <c r="N33" i="2" s="1"/>
  <c r="M36" i="2"/>
  <c r="M33" i="2" s="1"/>
  <c r="M53" i="2" s="1"/>
  <c r="O36" i="2"/>
  <c r="K53" i="2"/>
  <c r="O53" i="2" s="1"/>
  <c r="N53" i="2" l="1"/>
  <c r="N55" i="2" s="1"/>
  <c r="K55" i="2"/>
  <c r="O33" i="2"/>
  <c r="D55" i="2"/>
  <c r="O55" i="2" l="1"/>
  <c r="M55" i="2"/>
  <c r="D17" i="1" l="1"/>
  <c r="D8" i="1"/>
  <c r="D12" i="1"/>
  <c r="D9" i="1"/>
  <c r="D11" i="1"/>
  <c r="D10" i="1"/>
  <c r="D18" i="1"/>
  <c r="L10" i="1" l="1"/>
  <c r="P10" i="1" s="1"/>
  <c r="L12" i="1"/>
  <c r="L11" i="1"/>
  <c r="L8" i="1"/>
  <c r="L18" i="1"/>
  <c r="D7" i="1"/>
  <c r="L7" i="1" s="1"/>
  <c r="C13" i="1"/>
  <c r="L17" i="1"/>
  <c r="L9" i="1"/>
  <c r="C19" i="1"/>
  <c r="D16" i="1"/>
  <c r="P8" i="1" l="1"/>
  <c r="O8" i="1"/>
  <c r="N8" i="1"/>
  <c r="O9" i="1"/>
  <c r="N9" i="1"/>
  <c r="P9" i="1"/>
  <c r="D13" i="1"/>
  <c r="N12" i="1"/>
  <c r="P12" i="1"/>
  <c r="O12" i="1"/>
  <c r="O11" i="1"/>
  <c r="N11" i="1"/>
  <c r="P11" i="1"/>
  <c r="N10" i="1"/>
  <c r="O10" i="1"/>
  <c r="N17" i="1"/>
  <c r="O17" i="1"/>
  <c r="P17" i="1"/>
  <c r="P18" i="1"/>
  <c r="O18" i="1"/>
  <c r="N18" i="1"/>
  <c r="D19" i="1"/>
  <c r="L16" i="1"/>
  <c r="L19" i="1" l="1"/>
  <c r="O16" i="1"/>
  <c r="P16" i="1"/>
  <c r="N16" i="1"/>
  <c r="N7" i="1"/>
  <c r="P7" i="1"/>
  <c r="O7" i="1"/>
  <c r="O13" i="1" s="1"/>
  <c r="L13" i="1"/>
  <c r="J36" i="4"/>
  <c r="J4" i="4"/>
  <c r="J5" i="4"/>
  <c r="J7" i="4"/>
  <c r="J9" i="4"/>
  <c r="J6" i="4"/>
  <c r="J8" i="4"/>
  <c r="J28" i="4"/>
  <c r="J31" i="4"/>
  <c r="J20" i="4"/>
  <c r="J15" i="4"/>
  <c r="J22" i="4"/>
  <c r="J23" i="4"/>
  <c r="J14" i="4"/>
  <c r="J30" i="4"/>
  <c r="J26" i="4"/>
  <c r="J29" i="4"/>
  <c r="J25" i="4"/>
  <c r="J21" i="4"/>
  <c r="J27" i="4"/>
  <c r="J24" i="4"/>
  <c r="N13" i="1" l="1"/>
  <c r="I10" i="4"/>
  <c r="J10" i="4"/>
  <c r="N19" i="1"/>
  <c r="I32" i="4"/>
  <c r="J19" i="4"/>
  <c r="J32" i="4" s="1"/>
  <c r="P13" i="1"/>
  <c r="I16" i="4"/>
  <c r="J13" i="4"/>
  <c r="J16" i="4" s="1"/>
  <c r="O19" i="1"/>
  <c r="P19" i="1"/>
  <c r="D21" i="1" l="1"/>
  <c r="L21" i="1" s="1"/>
  <c r="N21" i="1" s="1"/>
  <c r="C23" i="1"/>
  <c r="C27" i="1" s="1"/>
  <c r="C57" i="2" s="1"/>
  <c r="C82" i="2" s="1"/>
  <c r="C90" i="2" s="1"/>
  <c r="J34" i="4"/>
  <c r="J38" i="4"/>
  <c r="I34" i="4"/>
  <c r="I38" i="4" s="1"/>
  <c r="D23" i="1" l="1"/>
  <c r="D27" i="1" l="1"/>
  <c r="O21" i="1"/>
  <c r="P21" i="1"/>
  <c r="L23" i="1"/>
  <c r="N23" i="1" l="1"/>
  <c r="O23" i="1"/>
  <c r="O27" i="1" s="1"/>
  <c r="L27" i="1"/>
  <c r="P23" i="1"/>
  <c r="D57" i="2"/>
  <c r="D82" i="2" l="1"/>
  <c r="N57" i="2"/>
  <c r="N82" i="2" s="1"/>
  <c r="N90" i="2" s="1"/>
  <c r="N27" i="1"/>
  <c r="P27" i="1"/>
  <c r="K57" i="2"/>
  <c r="K82" i="2" l="1"/>
  <c r="O57" i="2"/>
  <c r="M57" i="2"/>
  <c r="M82" i="2" s="1"/>
  <c r="D90" i="2"/>
  <c r="O82" i="2" l="1"/>
  <c r="K90" i="2"/>
  <c r="O90" i="2" s="1"/>
  <c r="M9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tc={4373FA77-D627-4307-8831-B16115F757C7}</author>
  </authors>
  <commentList>
    <comment ref="A11" authorId="0" shapeId="0" xr:uid="{4373FA77-D627-4307-8831-B16115F757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funding for UT College of Medicine, UT Family Practice and other specialized medical units in Memphis.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tc={CF4E1AFF-7C94-468F-BCC8-017AF49ABCBF}</author>
    <author>tc={9DD1F3C8-5C1A-4B00-968C-851915BC34A1}</author>
    <author>tc={8AE4ACF8-0076-4820-912A-E2B02A46D3D5}</author>
    <author>tc={AE0CF154-5576-4F23-B137-A5F966B74EDE}</author>
    <author>tc={B029AF59-B5F4-4D67-9AA2-B7BBE8F015D3}</author>
    <author>tc={535701D0-BAC2-4686-89B6-5B963C477101}</author>
    <author>tc={3E0070E9-ED9A-4900-A399-BA19EA5E2A5E}</author>
    <author>tc={A2520561-C480-400B-AB28-508BEB27D99B}</author>
  </authors>
  <commentList>
    <comment ref="B2" authorId="0" shapeId="0" xr:uid="{CF4E1AFF-7C94-468F-BCC8-017AF49ABCBF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Outcomes and Salary per FY26 Governor's Budget.</t>
      </text>
    </comment>
    <comment ref="C2" authorId="1" shapeId="0" xr:uid="{9DD1F3C8-5C1A-4B00-968C-851915BC34A1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and Administration's Analysis of Outcomes and Salary for FY26 Governor's Budget.</t>
      </text>
    </comment>
    <comment ref="E2" authorId="2" shapeId="0" xr:uid="{8AE4ACF8-0076-4820-912A-E2B02A46D3D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THEC calculated state share of salary 1% increase by institution with a 2.63% salary increase.</t>
      </text>
    </comment>
    <comment ref="F2" authorId="3" shapeId="0" xr:uid="{AE0CF154-5576-4F23-B137-A5F966B74EDE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Finance and Administration's calculated salary. F&amp;A utilized the lower of 1% salaries between FY25 and FY26 to create an "FY26 1% Salary," which then utilizes a 2.63% salary increase.</t>
      </text>
    </comment>
    <comment ref="G2" authorId="4" shapeId="0" xr:uid="{B029AF59-B5F4-4D67-9AA2-B7BBE8F015D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between THEC's 1% Salary File and F&amp;A Salary File after utilizing a 2.63% salary increase.</t>
      </text>
    </comment>
    <comment ref="H2" authorId="5" shapeId="0" xr:uid="{535701D0-BAC2-4686-89B6-5B963C477101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from THEC 1% salary file and F&amp;A salary file.</t>
      </text>
    </comment>
    <comment ref="I2" authorId="6" shapeId="0" xr:uid="{3E0070E9-ED9A-4900-A399-BA19EA5E2A5E}">
      <text>
        <t>[Threaded comment]
Your version of Excel allows you to read this threaded comment; however, any edits to it will get removed if the file is opened in a newer version of Excel. Learn more: https://go.microsoft.com/fwlink/?linkid=870924
Comment:
    FY26 Salary was distributed utilizing the Outcomes-Based Funding Formula. This column illustrates the share of funding based on THEC's November appropriations request (THEC Rec).</t>
      </text>
    </comment>
    <comment ref="J2" authorId="7" shapeId="0" xr:uid="{A2520561-C480-400B-AB28-508BEB27D9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Calculates salary by distributing total salary dollars ($35.8 M calculated in column F) based on the institution's share of funding (column I). 
Values match actual salary dollars in FY26 Governor's budget (column D)</t>
      </text>
    </comment>
  </commentList>
</comments>
</file>

<file path=xl/sharedStrings.xml><?xml version="1.0" encoding="utf-8"?>
<sst xmlns="http://schemas.openxmlformats.org/spreadsheetml/2006/main" count="382" uniqueCount="174">
  <si>
    <t>2024-25</t>
  </si>
  <si>
    <t>2025-26</t>
  </si>
  <si>
    <t>2025-26 Recurring Cost Increases</t>
  </si>
  <si>
    <t>Change in</t>
  </si>
  <si>
    <t>Recurring</t>
  </si>
  <si>
    <t>Outcomes</t>
  </si>
  <si>
    <t>Revised</t>
  </si>
  <si>
    <t>Gov's Budget</t>
  </si>
  <si>
    <t>Outcomes/</t>
  </si>
  <si>
    <t>Salary</t>
  </si>
  <si>
    <t>Insurance</t>
  </si>
  <si>
    <t>401k</t>
  </si>
  <si>
    <t>Other</t>
  </si>
  <si>
    <t>Non-Recurring</t>
  </si>
  <si>
    <t>Total State</t>
  </si>
  <si>
    <t>Percent</t>
  </si>
  <si>
    <t>Academic Formula Units</t>
  </si>
  <si>
    <t>Appropriations</t>
  </si>
  <si>
    <t>Productivity</t>
  </si>
  <si>
    <t>Base</t>
  </si>
  <si>
    <t>Outcomes / Productivity</t>
  </si>
  <si>
    <t>Increase</t>
  </si>
  <si>
    <t>Match</t>
  </si>
  <si>
    <t>Cost Increases</t>
  </si>
  <si>
    <t>Change</t>
  </si>
  <si>
    <t>Locally Governed Institutions</t>
  </si>
  <si>
    <t>Austin Peay</t>
  </si>
  <si>
    <t>East Tennessee</t>
  </si>
  <si>
    <t>Middle Tennessee</t>
  </si>
  <si>
    <t>Tennessee State</t>
  </si>
  <si>
    <t>Tennessee Tech</t>
  </si>
  <si>
    <t>University of Memphis</t>
  </si>
  <si>
    <t xml:space="preserve">Subtotal </t>
  </si>
  <si>
    <t>UT Universities</t>
  </si>
  <si>
    <t>UT Chattanooga</t>
  </si>
  <si>
    <t>UT Knoxville</t>
  </si>
  <si>
    <t>UT Martin</t>
  </si>
  <si>
    <t>Community Colleges</t>
  </si>
  <si>
    <t>Total Colleges and Universities</t>
  </si>
  <si>
    <t>TN Colleges of Applied Tech</t>
  </si>
  <si>
    <t>Total Academic Formula Units</t>
  </si>
  <si>
    <t>Recurring Base</t>
  </si>
  <si>
    <t xml:space="preserve">401k </t>
  </si>
  <si>
    <t>Specialized Units</t>
  </si>
  <si>
    <t>Revisions</t>
  </si>
  <si>
    <t>Percent Change</t>
  </si>
  <si>
    <t>Medical Education</t>
  </si>
  <si>
    <t>ETSU College of Medicine</t>
  </si>
  <si>
    <t>ETSU Family Practice</t>
  </si>
  <si>
    <t>ETSU College of Pharmacy</t>
  </si>
  <si>
    <t>UT College of Veterinary Medicine</t>
  </si>
  <si>
    <t>UT Health Science Center</t>
  </si>
  <si>
    <t>Research and Public Service</t>
  </si>
  <si>
    <t>UT Agricultural Experiment Station</t>
  </si>
  <si>
    <t>UT Agricultural Extension Service</t>
  </si>
  <si>
    <t>TSU McMinnville Center</t>
  </si>
  <si>
    <t>TSU Institute of Agricultural and Environmental Research</t>
  </si>
  <si>
    <t>TSU Cooperative Extension</t>
  </si>
  <si>
    <t>TSU McIntire-Stennis Forestry Research</t>
  </si>
  <si>
    <t>UT Space Institute</t>
  </si>
  <si>
    <t>UT Institute for Public Service</t>
  </si>
  <si>
    <t>Tennessee Language Center</t>
  </si>
  <si>
    <t>Institute for Public Service: Other Agencies</t>
  </si>
  <si>
    <t>UT County Technical Assistance Service</t>
  </si>
  <si>
    <t>UT Municipal Technical Advisory Service</t>
  </si>
  <si>
    <t>Other Specialized Units</t>
  </si>
  <si>
    <t>UT Southern</t>
  </si>
  <si>
    <t>UT University-Wide Administration</t>
  </si>
  <si>
    <t>TN Board of Regents Administration</t>
  </si>
  <si>
    <t>TN Student Assistance Corporation</t>
  </si>
  <si>
    <t>Tennessee Student Assistance Awards</t>
  </si>
  <si>
    <t>Tennessee Students Assistance Corporation</t>
  </si>
  <si>
    <t>Loan/Scholarships Program</t>
  </si>
  <si>
    <t>Contract Education</t>
  </si>
  <si>
    <t>TN Higher Education Commission</t>
  </si>
  <si>
    <t>Tennessee Higher Education Commission  Administration</t>
  </si>
  <si>
    <t>Reverse Transfer Portal</t>
  </si>
  <si>
    <t>NA</t>
  </si>
  <si>
    <t>College Completion Initiatives for Minority Students</t>
  </si>
  <si>
    <t>Tennessee Reconnect Grant Coordinator</t>
  </si>
  <si>
    <t>Capital Projects Coordinator</t>
  </si>
  <si>
    <t>Drive to 55 Support Specialist</t>
  </si>
  <si>
    <t>FOCUS Act</t>
  </si>
  <si>
    <t>Advise TN (College Advisor Corp)</t>
  </si>
  <si>
    <t>Adult Learner Initiatives</t>
  </si>
  <si>
    <t>Labor Education Alignment Program</t>
  </si>
  <si>
    <t>Tennessee Reconnect Coordinator</t>
  </si>
  <si>
    <t>Correctional Education Investment</t>
  </si>
  <si>
    <t>Rural Health Care Pathways Program</t>
  </si>
  <si>
    <t>Correctional Education Investment - Re-Entry Navigators</t>
  </si>
  <si>
    <t>Total Specialized Units</t>
  </si>
  <si>
    <t>Total Formula and Specialized Units</t>
  </si>
  <si>
    <t>Program Initiatives</t>
  </si>
  <si>
    <t>Campus Centers of Excellence</t>
  </si>
  <si>
    <t>Campus Centers of Emphasis</t>
  </si>
  <si>
    <t>McWherter Academic Scholars Program</t>
  </si>
  <si>
    <t>UT Access and Diversity Initiative</t>
  </si>
  <si>
    <t>TBR Access and Diversity Initiative</t>
  </si>
  <si>
    <t>Research Initiatives - UT</t>
  </si>
  <si>
    <t>THEC Grants</t>
  </si>
  <si>
    <t>THEC Grants Administration</t>
  </si>
  <si>
    <t>Washington Center Internships</t>
  </si>
  <si>
    <t>College Coaching</t>
  </si>
  <si>
    <t>Navigate Reconnect</t>
  </si>
  <si>
    <t>HBCU Success Summer Bridge Program</t>
  </si>
  <si>
    <t>Tennessee Promise Summer Bridge Program</t>
  </si>
  <si>
    <t>Tennessee Reconnect Community Advisor Program Expansion</t>
  </si>
  <si>
    <t>Advise TN (College Advisor Corps)</t>
  </si>
  <si>
    <t>Graduate Medical Education (GME) Expansion</t>
  </si>
  <si>
    <t>GIVE 4.0</t>
  </si>
  <si>
    <t>Veterans Reconnect</t>
  </si>
  <si>
    <t>Subtotal</t>
  </si>
  <si>
    <t>Total Higher Education</t>
  </si>
  <si>
    <t>Higher Education Capital Maintenance</t>
  </si>
  <si>
    <t>Equipment for TN Colleges of Applied Technology</t>
  </si>
  <si>
    <t>Lottery for Education Account</t>
  </si>
  <si>
    <t>Total Higher Ed and Governor's Initiatives PLUS Lottery</t>
  </si>
  <si>
    <t>Governor's Budget</t>
  </si>
  <si>
    <t>THEC Rec</t>
  </si>
  <si>
    <t>Difference</t>
  </si>
  <si>
    <t>1% Req't</t>
  </si>
  <si>
    <t>State</t>
  </si>
  <si>
    <t>Fee</t>
  </si>
  <si>
    <t>1% Centers (All State)</t>
  </si>
  <si>
    <t>Full 1% Salary Cost</t>
  </si>
  <si>
    <t>Partial 1% Salary Cost</t>
  </si>
  <si>
    <t xml:space="preserve">                             -</t>
  </si>
  <si>
    <t xml:space="preserve">                                                -</t>
  </si>
  <si>
    <t>ETSU Pharmacy</t>
  </si>
  <si>
    <t>UT Veterinary Medicine</t>
  </si>
  <si>
    <t xml:space="preserve"> subtotal</t>
  </si>
  <si>
    <t> </t>
  </si>
  <si>
    <t>UT Ag Experiment Station</t>
  </si>
  <si>
    <t>TSU McMinnville</t>
  </si>
  <si>
    <t>TSU Coop</t>
  </si>
  <si>
    <t>TSU A&amp;E</t>
  </si>
  <si>
    <t>TSU Forestry</t>
  </si>
  <si>
    <t>UT Ag Extension Service</t>
  </si>
  <si>
    <t>County Tech Assistance</t>
  </si>
  <si>
    <t>Municipal Tech Advisory</t>
  </si>
  <si>
    <t>Institute for Public Service</t>
  </si>
  <si>
    <t>UT University-Wide Admin.</t>
  </si>
  <si>
    <t>Tennessee Board of Regents</t>
  </si>
  <si>
    <t>GRAND TOTAL</t>
  </si>
  <si>
    <t>Background Data</t>
  </si>
  <si>
    <t>Salary Analysis</t>
  </si>
  <si>
    <t>OBF Funding Distribution Analysis</t>
  </si>
  <si>
    <t>F&amp;A</t>
  </si>
  <si>
    <t>FY26 Salary</t>
  </si>
  <si>
    <t>F&amp;A Analysis</t>
  </si>
  <si>
    <t>Difference in 1% Salary Files</t>
  </si>
  <si>
    <t>%</t>
  </si>
  <si>
    <t>Share of Funding</t>
  </si>
  <si>
    <t>Salary based on Shares THEC Rec</t>
  </si>
  <si>
    <t>Outcomes &amp; Salary</t>
  </si>
  <si>
    <t>with TCATs</t>
  </si>
  <si>
    <t>Chattanooga</t>
  </si>
  <si>
    <t>Cleveland</t>
  </si>
  <si>
    <t>Columbia</t>
  </si>
  <si>
    <t>Dyersburg</t>
  </si>
  <si>
    <t>Jackson</t>
  </si>
  <si>
    <t>Motlow</t>
  </si>
  <si>
    <t>Nashville</t>
  </si>
  <si>
    <t xml:space="preserve">Northeast </t>
  </si>
  <si>
    <t>Pellissippi</t>
  </si>
  <si>
    <t>Roane</t>
  </si>
  <si>
    <t>Southwest</t>
  </si>
  <si>
    <t>Volunteer</t>
  </si>
  <si>
    <t>Walters</t>
  </si>
  <si>
    <t>2025-26 Legislative Action</t>
  </si>
  <si>
    <t xml:space="preserve">  </t>
  </si>
  <si>
    <t>Tn Achieves</t>
  </si>
  <si>
    <t>Lane College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</si>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</sst>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/d/yy;@"/>
    <numFmt numFmtId="168" formatCode="&quot;$&quot;#,##0.0_);\(&quot;$&quot;#,##0.0\)"/>
    <numFmt numFmtId="169" formatCode="_(* #,##0.0_);_(* \(#,##0.0\);_(* &quot;-&quot;?_);_(@_)"/>
    <numFmt numFmtId="170" formatCode="_([$$-409]* #,##0.00_);_([$$-409]* \(#,##0.00\);_([$$-409]* &quot;-&quot;??_);_(@_)"/>
    <numFmt numFmtId="171" formatCode="&quot;$&quot;#,##0.0_);[Red]\(&quot;$&quot;#,##0.0\)"/>
    <numFmt numFmtId="172" formatCode="_(&quot;$&quot;* #,##0_);_(&quot;$&quot;* \(#,##0\);_(&quot;$&quot;* &quot;-&quot;??_);_(@_)"/>
  </numFmts>
  <fonts count="35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rgb="FFFF0000"/>
      <name val="Open Sans"/>
      <family val="2"/>
    </font>
    <font>
      <sz val="12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6"/>
      <name val="Open Sans"/>
      <family val="2"/>
    </font>
    <font>
      <b/>
      <sz val="12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sz val="10"/>
      <color rgb="FF0000FF"/>
      <name val="Open Sans"/>
      <family val="2"/>
    </font>
    <font>
      <i/>
      <sz val="10"/>
      <color rgb="FF000000"/>
      <name val="Open Sans"/>
      <family val="2"/>
    </font>
    <font>
      <sz val="10"/>
      <color rgb="FFC00000"/>
      <name val="Open Sans"/>
      <family val="2"/>
    </font>
    <font>
      <b/>
      <sz val="12"/>
      <color rgb="FF000000"/>
      <name val="Open Sans"/>
      <family val="2"/>
    </font>
    <font>
      <sz val="10"/>
      <color theme="0"/>
      <name val="Open Sans"/>
      <family val="2"/>
    </font>
    <font>
      <sz val="11"/>
      <name val="Open Sans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6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35">
    <xf numFmtId="0" fontId="0" fillId="0" borderId="0" xfId="0"/>
    <xf numFmtId="0" fontId="22" fillId="0" borderId="0" xfId="0" applyFont="1"/>
    <xf numFmtId="0" fontId="23" fillId="0" borderId="19" xfId="0" applyFont="1" applyBorder="1"/>
    <xf numFmtId="0" fontId="23" fillId="0" borderId="18" xfId="0" applyFont="1" applyBorder="1"/>
    <xf numFmtId="0" fontId="23" fillId="0" borderId="22" xfId="0" applyFont="1" applyBorder="1"/>
    <xf numFmtId="0" fontId="24" fillId="0" borderId="18" xfId="0" applyFont="1" applyBorder="1"/>
    <xf numFmtId="0" fontId="23" fillId="0" borderId="23" xfId="0" applyFont="1" applyBorder="1"/>
    <xf numFmtId="0" fontId="24" fillId="0" borderId="18" xfId="0" applyFont="1" applyBorder="1" applyAlignment="1">
      <alignment horizontal="right"/>
    </xf>
    <xf numFmtId="0" fontId="22" fillId="0" borderId="18" xfId="0" applyFont="1" applyBorder="1"/>
    <xf numFmtId="0" fontId="24" fillId="0" borderId="18" xfId="0" applyFont="1" applyBorder="1" applyAlignment="1">
      <alignment horizontal="left"/>
    </xf>
    <xf numFmtId="0" fontId="24" fillId="0" borderId="24" xfId="0" applyFont="1" applyBorder="1"/>
    <xf numFmtId="0" fontId="23" fillId="0" borderId="0" xfId="0" applyFont="1"/>
    <xf numFmtId="0" fontId="23" fillId="0" borderId="32" xfId="0" applyFont="1" applyBorder="1"/>
    <xf numFmtId="0" fontId="23" fillId="24" borderId="26" xfId="0" applyFont="1" applyFill="1" applyBorder="1" applyAlignment="1">
      <alignment horizontal="right"/>
    </xf>
    <xf numFmtId="0" fontId="23" fillId="24" borderId="23" xfId="0" applyFont="1" applyFill="1" applyBorder="1" applyAlignment="1">
      <alignment horizontal="right"/>
    </xf>
    <xf numFmtId="0" fontId="23" fillId="24" borderId="18" xfId="0" applyFont="1" applyFill="1" applyBorder="1" applyAlignment="1">
      <alignment horizontal="right"/>
    </xf>
    <xf numFmtId="0" fontId="23" fillId="24" borderId="22" xfId="0" applyFont="1" applyFill="1" applyBorder="1" applyAlignment="1">
      <alignment horizontal="right"/>
    </xf>
    <xf numFmtId="0" fontId="24" fillId="0" borderId="26" xfId="0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0" fontId="24" fillId="0" borderId="24" xfId="0" applyFont="1" applyBorder="1" applyAlignment="1">
      <alignment horizontal="right"/>
    </xf>
    <xf numFmtId="0" fontId="23" fillId="0" borderId="39" xfId="0" applyFont="1" applyBorder="1"/>
    <xf numFmtId="0" fontId="24" fillId="0" borderId="41" xfId="0" applyFont="1" applyBorder="1" applyAlignment="1">
      <alignment horizontal="right"/>
    </xf>
    <xf numFmtId="5" fontId="22" fillId="0" borderId="0" xfId="0" applyNumberFormat="1" applyFont="1"/>
    <xf numFmtId="0" fontId="23" fillId="0" borderId="20" xfId="0" applyFont="1" applyBorder="1" applyAlignment="1">
      <alignment horizontal="center"/>
    </xf>
    <xf numFmtId="164" fontId="23" fillId="0" borderId="14" xfId="42" applyNumberFormat="1" applyFont="1" applyBorder="1" applyAlignment="1">
      <alignment horizontal="center"/>
    </xf>
    <xf numFmtId="164" fontId="23" fillId="0" borderId="13" xfId="42" applyNumberFormat="1" applyFont="1" applyBorder="1" applyAlignment="1">
      <alignment horizontal="center"/>
    </xf>
    <xf numFmtId="5" fontId="23" fillId="0" borderId="14" xfId="0" applyNumberFormat="1" applyFont="1" applyBorder="1"/>
    <xf numFmtId="165" fontId="23" fillId="0" borderId="14" xfId="28" applyNumberFormat="1" applyFont="1" applyBorder="1"/>
    <xf numFmtId="165" fontId="23" fillId="0" borderId="13" xfId="28" applyNumberFormat="1" applyFont="1" applyBorder="1"/>
    <xf numFmtId="5" fontId="24" fillId="0" borderId="14" xfId="0" applyNumberFormat="1" applyFont="1" applyBorder="1"/>
    <xf numFmtId="0" fontId="23" fillId="0" borderId="14" xfId="0" applyFont="1" applyBorder="1"/>
    <xf numFmtId="5" fontId="24" fillId="0" borderId="16" xfId="0" applyNumberFormat="1" applyFont="1" applyBorder="1"/>
    <xf numFmtId="5" fontId="24" fillId="0" borderId="0" xfId="0" applyNumberFormat="1" applyFont="1"/>
    <xf numFmtId="0" fontId="23" fillId="0" borderId="3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5" fontId="24" fillId="0" borderId="37" xfId="0" applyNumberFormat="1" applyFont="1" applyBorder="1"/>
    <xf numFmtId="2" fontId="23" fillId="0" borderId="50" xfId="42" applyNumberFormat="1" applyFont="1" applyBorder="1" applyAlignment="1">
      <alignment horizontal="center"/>
    </xf>
    <xf numFmtId="164" fontId="23" fillId="0" borderId="31" xfId="42" applyNumberFormat="1" applyFont="1" applyBorder="1" applyAlignment="1">
      <alignment horizontal="center"/>
    </xf>
    <xf numFmtId="164" fontId="23" fillId="0" borderId="29" xfId="42" applyNumberFormat="1" applyFont="1" applyBorder="1" applyAlignment="1">
      <alignment horizontal="center"/>
    </xf>
    <xf numFmtId="5" fontId="23" fillId="0" borderId="32" xfId="0" applyNumberFormat="1" applyFont="1" applyBorder="1"/>
    <xf numFmtId="165" fontId="23" fillId="0" borderId="32" xfId="28" applyNumberFormat="1" applyFont="1" applyFill="1" applyBorder="1"/>
    <xf numFmtId="165" fontId="23" fillId="0" borderId="23" xfId="28" applyNumberFormat="1" applyFont="1" applyFill="1" applyBorder="1"/>
    <xf numFmtId="5" fontId="23" fillId="0" borderId="11" xfId="0" applyNumberFormat="1" applyFont="1" applyBorder="1"/>
    <xf numFmtId="165" fontId="23" fillId="0" borderId="11" xfId="28" applyNumberFormat="1" applyFont="1" applyFill="1" applyBorder="1"/>
    <xf numFmtId="165" fontId="23" fillId="0" borderId="14" xfId="28" applyNumberFormat="1" applyFont="1" applyFill="1" applyBorder="1"/>
    <xf numFmtId="165" fontId="23" fillId="0" borderId="10" xfId="28" applyNumberFormat="1" applyFont="1" applyFill="1" applyBorder="1"/>
    <xf numFmtId="165" fontId="23" fillId="0" borderId="13" xfId="28" applyNumberFormat="1" applyFont="1" applyFill="1" applyBorder="1"/>
    <xf numFmtId="5" fontId="24" fillId="0" borderId="11" xfId="0" applyNumberFormat="1" applyFont="1" applyBorder="1"/>
    <xf numFmtId="5" fontId="24" fillId="0" borderId="32" xfId="0" applyNumberFormat="1" applyFont="1" applyBorder="1"/>
    <xf numFmtId="0" fontId="23" fillId="0" borderId="3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65" fontId="23" fillId="0" borderId="32" xfId="28" applyNumberFormat="1" applyFont="1" applyBorder="1"/>
    <xf numFmtId="5" fontId="24" fillId="0" borderId="33" xfId="0" applyNumberFormat="1" applyFont="1" applyBorder="1"/>
    <xf numFmtId="0" fontId="23" fillId="0" borderId="11" xfId="0" applyFont="1" applyBorder="1" applyAlignment="1">
      <alignment horizontal="center"/>
    </xf>
    <xf numFmtId="166" fontId="23" fillId="0" borderId="14" xfId="42" applyNumberFormat="1" applyFont="1" applyBorder="1" applyAlignment="1">
      <alignment horizontal="center"/>
    </xf>
    <xf numFmtId="43" fontId="23" fillId="0" borderId="29" xfId="28" applyFont="1" applyBorder="1" applyAlignment="1">
      <alignment horizontal="center"/>
    </xf>
    <xf numFmtId="43" fontId="23" fillId="0" borderId="32" xfId="28" applyFont="1" applyBorder="1" applyAlignment="1">
      <alignment horizontal="center"/>
    </xf>
    <xf numFmtId="43" fontId="23" fillId="0" borderId="11" xfId="28" applyFont="1" applyBorder="1" applyAlignment="1">
      <alignment horizontal="center"/>
    </xf>
    <xf numFmtId="43" fontId="23" fillId="0" borderId="14" xfId="28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164" fontId="23" fillId="0" borderId="10" xfId="42" applyNumberFormat="1" applyFont="1" applyBorder="1" applyAlignment="1">
      <alignment horizontal="center"/>
    </xf>
    <xf numFmtId="164" fontId="23" fillId="0" borderId="30" xfId="42" applyNumberFormat="1" applyFont="1" applyBorder="1" applyAlignment="1">
      <alignment horizontal="center"/>
    </xf>
    <xf numFmtId="164" fontId="23" fillId="0" borderId="23" xfId="42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165" fontId="23" fillId="0" borderId="11" xfId="28" applyNumberFormat="1" applyFont="1" applyBorder="1"/>
    <xf numFmtId="0" fontId="23" fillId="0" borderId="11" xfId="0" applyFont="1" applyBorder="1"/>
    <xf numFmtId="5" fontId="24" fillId="0" borderId="15" xfId="0" applyNumberFormat="1" applyFont="1" applyBorder="1"/>
    <xf numFmtId="5" fontId="24" fillId="0" borderId="29" xfId="0" applyNumberFormat="1" applyFont="1" applyBorder="1"/>
    <xf numFmtId="5" fontId="24" fillId="0" borderId="56" xfId="0" applyNumberFormat="1" applyFont="1" applyBorder="1"/>
    <xf numFmtId="165" fontId="23" fillId="0" borderId="10" xfId="28" applyNumberFormat="1" applyFont="1" applyBorder="1"/>
    <xf numFmtId="165" fontId="23" fillId="0" borderId="23" xfId="28" applyNumberFormat="1" applyFont="1" applyBorder="1"/>
    <xf numFmtId="164" fontId="24" fillId="0" borderId="14" xfId="42" applyNumberFormat="1" applyFont="1" applyBorder="1" applyAlignment="1">
      <alignment horizontal="center"/>
    </xf>
    <xf numFmtId="164" fontId="24" fillId="0" borderId="16" xfId="42" applyNumberFormat="1" applyFont="1" applyBorder="1" applyAlignment="1">
      <alignment horizontal="center"/>
    </xf>
    <xf numFmtId="5" fontId="23" fillId="0" borderId="0" xfId="0" applyNumberFormat="1" applyFont="1"/>
    <xf numFmtId="0" fontId="23" fillId="0" borderId="34" xfId="0" applyFont="1" applyBorder="1" applyAlignment="1">
      <alignment horizontal="center"/>
    </xf>
    <xf numFmtId="164" fontId="23" fillId="0" borderId="12" xfId="42" applyNumberFormat="1" applyFont="1" applyFill="1" applyBorder="1" applyAlignment="1">
      <alignment horizontal="center"/>
    </xf>
    <xf numFmtId="164" fontId="23" fillId="0" borderId="28" xfId="42" applyNumberFormat="1" applyFont="1" applyFill="1" applyBorder="1" applyAlignment="1">
      <alignment horizontal="center"/>
    </xf>
    <xf numFmtId="5" fontId="24" fillId="0" borderId="27" xfId="0" applyNumberFormat="1" applyFont="1" applyBorder="1"/>
    <xf numFmtId="5" fontId="24" fillId="0" borderId="12" xfId="0" applyNumberFormat="1" applyFont="1" applyBorder="1"/>
    <xf numFmtId="5" fontId="24" fillId="0" borderId="28" xfId="0" applyNumberFormat="1" applyFont="1" applyBorder="1"/>
    <xf numFmtId="5" fontId="24" fillId="0" borderId="17" xfId="0" applyNumberFormat="1" applyFont="1" applyBorder="1"/>
    <xf numFmtId="5" fontId="24" fillId="0" borderId="43" xfId="0" applyNumberFormat="1" applyFont="1" applyBorder="1"/>
    <xf numFmtId="164" fontId="23" fillId="0" borderId="21" xfId="42" applyNumberFormat="1" applyFont="1" applyFill="1" applyBorder="1" applyAlignment="1">
      <alignment horizontal="center"/>
    </xf>
    <xf numFmtId="164" fontId="23" fillId="0" borderId="32" xfId="42" applyNumberFormat="1" applyFont="1" applyFill="1" applyBorder="1" applyAlignment="1">
      <alignment horizontal="center"/>
    </xf>
    <xf numFmtId="43" fontId="23" fillId="0" borderId="11" xfId="28" applyFont="1" applyFill="1" applyBorder="1" applyAlignment="1">
      <alignment horizontal="center"/>
    </xf>
    <xf numFmtId="164" fontId="23" fillId="0" borderId="23" xfId="42" applyNumberFormat="1" applyFont="1" applyFill="1" applyBorder="1" applyAlignment="1">
      <alignment horizontal="center"/>
    </xf>
    <xf numFmtId="164" fontId="23" fillId="0" borderId="13" xfId="42" applyNumberFormat="1" applyFont="1" applyFill="1" applyBorder="1" applyAlignment="1">
      <alignment horizontal="center"/>
    </xf>
    <xf numFmtId="164" fontId="23" fillId="0" borderId="10" xfId="42" applyNumberFormat="1" applyFont="1" applyFill="1" applyBorder="1" applyAlignment="1">
      <alignment horizontal="center"/>
    </xf>
    <xf numFmtId="41" fontId="23" fillId="0" borderId="11" xfId="0" applyNumberFormat="1" applyFont="1" applyBorder="1"/>
    <xf numFmtId="164" fontId="23" fillId="0" borderId="14" xfId="42" applyNumberFormat="1" applyFont="1" applyFill="1" applyBorder="1" applyAlignment="1">
      <alignment horizontal="center"/>
    </xf>
    <xf numFmtId="41" fontId="23" fillId="0" borderId="10" xfId="0" applyNumberFormat="1" applyFont="1" applyBorder="1"/>
    <xf numFmtId="41" fontId="23" fillId="24" borderId="35" xfId="0" applyNumberFormat="1" applyFont="1" applyFill="1" applyBorder="1"/>
    <xf numFmtId="164" fontId="23" fillId="24" borderId="25" xfId="42" applyNumberFormat="1" applyFont="1" applyFill="1" applyBorder="1" applyAlignment="1">
      <alignment horizontal="center"/>
    </xf>
    <xf numFmtId="164" fontId="24" fillId="0" borderId="14" xfId="42" applyNumberFormat="1" applyFont="1" applyFill="1" applyBorder="1" applyAlignment="1">
      <alignment horizontal="center"/>
    </xf>
    <xf numFmtId="41" fontId="23" fillId="24" borderId="10" xfId="0" applyNumberFormat="1" applyFont="1" applyFill="1" applyBorder="1"/>
    <xf numFmtId="164" fontId="23" fillId="24" borderId="13" xfId="42" applyNumberFormat="1" applyFont="1" applyFill="1" applyBorder="1" applyAlignment="1">
      <alignment horizontal="center"/>
    </xf>
    <xf numFmtId="5" fontId="24" fillId="0" borderId="54" xfId="0" applyNumberFormat="1" applyFont="1" applyBorder="1"/>
    <xf numFmtId="5" fontId="24" fillId="0" borderId="35" xfId="0" applyNumberFormat="1" applyFont="1" applyBorder="1"/>
    <xf numFmtId="164" fontId="24" fillId="0" borderId="25" xfId="42" applyNumberFormat="1" applyFont="1" applyFill="1" applyBorder="1" applyAlignment="1">
      <alignment horizontal="center"/>
    </xf>
    <xf numFmtId="41" fontId="23" fillId="24" borderId="11" xfId="0" applyNumberFormat="1" applyFont="1" applyFill="1" applyBorder="1"/>
    <xf numFmtId="164" fontId="23" fillId="24" borderId="14" xfId="42" applyNumberFormat="1" applyFont="1" applyFill="1" applyBorder="1" applyAlignment="1">
      <alignment horizontal="center"/>
    </xf>
    <xf numFmtId="5" fontId="24" fillId="0" borderId="42" xfId="0" applyNumberFormat="1" applyFont="1" applyBorder="1"/>
    <xf numFmtId="5" fontId="24" fillId="0" borderId="58" xfId="0" applyNumberFormat="1" applyFont="1" applyBorder="1"/>
    <xf numFmtId="5" fontId="24" fillId="0" borderId="44" xfId="0" applyNumberFormat="1" applyFont="1" applyBorder="1"/>
    <xf numFmtId="164" fontId="24" fillId="0" borderId="45" xfId="42" applyNumberFormat="1" applyFont="1" applyFill="1" applyBorder="1" applyAlignment="1">
      <alignment horizontal="center"/>
    </xf>
    <xf numFmtId="5" fontId="24" fillId="0" borderId="23" xfId="0" applyNumberFormat="1" applyFont="1" applyBorder="1"/>
    <xf numFmtId="5" fontId="24" fillId="0" borderId="10" xfId="0" applyNumberFormat="1" applyFont="1" applyBorder="1"/>
    <xf numFmtId="164" fontId="24" fillId="0" borderId="13" xfId="42" applyNumberFormat="1" applyFont="1" applyFill="1" applyBorder="1" applyAlignment="1">
      <alignment horizontal="center"/>
    </xf>
    <xf numFmtId="164" fontId="24" fillId="0" borderId="16" xfId="42" applyNumberFormat="1" applyFont="1" applyFill="1" applyBorder="1" applyAlignment="1">
      <alignment horizontal="center"/>
    </xf>
    <xf numFmtId="165" fontId="23" fillId="0" borderId="39" xfId="28" applyNumberFormat="1" applyFont="1" applyFill="1" applyBorder="1" applyAlignment="1"/>
    <xf numFmtId="165" fontId="23" fillId="0" borderId="0" xfId="28" applyNumberFormat="1" applyFont="1" applyFill="1" applyBorder="1" applyAlignment="1"/>
    <xf numFmtId="0" fontId="26" fillId="0" borderId="0" xfId="0" applyFont="1"/>
    <xf numFmtId="164" fontId="23" fillId="0" borderId="11" xfId="42" applyNumberFormat="1" applyFont="1" applyFill="1" applyBorder="1"/>
    <xf numFmtId="165" fontId="22" fillId="0" borderId="0" xfId="28" applyNumberFormat="1" applyFont="1" applyFill="1"/>
    <xf numFmtId="0" fontId="24" fillId="25" borderId="41" xfId="0" applyFont="1" applyFill="1" applyBorder="1" applyAlignment="1">
      <alignment horizontal="right"/>
    </xf>
    <xf numFmtId="5" fontId="24" fillId="25" borderId="43" xfId="0" applyNumberFormat="1" applyFont="1" applyFill="1" applyBorder="1"/>
    <xf numFmtId="5" fontId="24" fillId="25" borderId="42" xfId="0" applyNumberFormat="1" applyFont="1" applyFill="1" applyBorder="1"/>
    <xf numFmtId="5" fontId="24" fillId="25" borderId="58" xfId="0" applyNumberFormat="1" applyFont="1" applyFill="1" applyBorder="1"/>
    <xf numFmtId="5" fontId="24" fillId="25" borderId="44" xfId="0" applyNumberFormat="1" applyFont="1" applyFill="1" applyBorder="1"/>
    <xf numFmtId="164" fontId="24" fillId="25" borderId="45" xfId="42" applyNumberFormat="1" applyFont="1" applyFill="1" applyBorder="1" applyAlignment="1">
      <alignment horizontal="center"/>
    </xf>
    <xf numFmtId="5" fontId="24" fillId="26" borderId="43" xfId="0" applyNumberFormat="1" applyFont="1" applyFill="1" applyBorder="1"/>
    <xf numFmtId="164" fontId="23" fillId="0" borderId="0" xfId="42" applyNumberFormat="1" applyFont="1"/>
    <xf numFmtId="0" fontId="21" fillId="0" borderId="0" xfId="0" applyFont="1"/>
    <xf numFmtId="9" fontId="23" fillId="0" borderId="25" xfId="0" applyNumberFormat="1" applyFont="1" applyBorder="1"/>
    <xf numFmtId="164" fontId="23" fillId="0" borderId="0" xfId="42" applyNumberFormat="1" applyFont="1" applyFill="1" applyAlignment="1"/>
    <xf numFmtId="43" fontId="23" fillId="0" borderId="0" xfId="28" applyFont="1" applyFill="1" applyAlignment="1"/>
    <xf numFmtId="5" fontId="24" fillId="0" borderId="59" xfId="0" applyNumberFormat="1" applyFont="1" applyBorder="1"/>
    <xf numFmtId="5" fontId="0" fillId="0" borderId="0" xfId="0" applyNumberFormat="1"/>
    <xf numFmtId="0" fontId="27" fillId="0" borderId="0" xfId="0" applyFont="1"/>
    <xf numFmtId="0" fontId="24" fillId="0" borderId="40" xfId="0" applyFont="1" applyBorder="1"/>
    <xf numFmtId="0" fontId="24" fillId="0" borderId="0" xfId="0" applyFont="1"/>
    <xf numFmtId="0" fontId="28" fillId="0" borderId="0" xfId="0" applyFont="1"/>
    <xf numFmtId="0" fontId="28" fillId="27" borderId="10" xfId="0" applyFont="1" applyFill="1" applyBorder="1"/>
    <xf numFmtId="0" fontId="28" fillId="28" borderId="36" xfId="0" applyFont="1" applyFill="1" applyBorder="1"/>
    <xf numFmtId="0" fontId="29" fillId="0" borderId="0" xfId="0" applyFont="1"/>
    <xf numFmtId="6" fontId="29" fillId="0" borderId="0" xfId="0" applyNumberFormat="1" applyFont="1"/>
    <xf numFmtId="6" fontId="27" fillId="0" borderId="0" xfId="0" applyNumberFormat="1" applyFont="1"/>
    <xf numFmtId="0" fontId="27" fillId="27" borderId="11" xfId="0" applyFont="1" applyFill="1" applyBorder="1"/>
    <xf numFmtId="6" fontId="27" fillId="27" borderId="11" xfId="0" applyNumberFormat="1" applyFont="1" applyFill="1" applyBorder="1"/>
    <xf numFmtId="0" fontId="27" fillId="28" borderId="38" xfId="0" applyFont="1" applyFill="1" applyBorder="1"/>
    <xf numFmtId="6" fontId="27" fillId="28" borderId="38" xfId="0" applyNumberFormat="1" applyFont="1" applyFill="1" applyBorder="1"/>
    <xf numFmtId="3" fontId="29" fillId="0" borderId="0" xfId="0" applyNumberFormat="1" applyFont="1"/>
    <xf numFmtId="3" fontId="27" fillId="27" borderId="11" xfId="0" applyNumberFormat="1" applyFont="1" applyFill="1" applyBorder="1"/>
    <xf numFmtId="3" fontId="27" fillId="28" borderId="38" xfId="0" applyNumberFormat="1" applyFont="1" applyFill="1" applyBorder="1"/>
    <xf numFmtId="0" fontId="30" fillId="0" borderId="0" xfId="0" applyFont="1"/>
    <xf numFmtId="6" fontId="23" fillId="0" borderId="46" xfId="0" applyNumberFormat="1" applyFont="1" applyBorder="1"/>
    <xf numFmtId="6" fontId="27" fillId="27" borderId="35" xfId="0" applyNumberFormat="1" applyFont="1" applyFill="1" applyBorder="1"/>
    <xf numFmtId="6" fontId="27" fillId="28" borderId="47" xfId="0" applyNumberFormat="1" applyFont="1" applyFill="1" applyBorder="1"/>
    <xf numFmtId="0" fontId="31" fillId="0" borderId="0" xfId="0" applyFont="1"/>
    <xf numFmtId="0" fontId="29" fillId="0" borderId="40" xfId="0" applyFont="1" applyBorder="1"/>
    <xf numFmtId="3" fontId="29" fillId="0" borderId="40" xfId="0" applyNumberFormat="1" applyFont="1" applyBorder="1"/>
    <xf numFmtId="0" fontId="27" fillId="0" borderId="40" xfId="0" applyFont="1" applyBorder="1"/>
    <xf numFmtId="3" fontId="27" fillId="27" borderId="10" xfId="0" applyNumberFormat="1" applyFont="1" applyFill="1" applyBorder="1"/>
    <xf numFmtId="3" fontId="27" fillId="28" borderId="36" xfId="0" applyNumberFormat="1" applyFont="1" applyFill="1" applyBorder="1"/>
    <xf numFmtId="6" fontId="23" fillId="0" borderId="0" xfId="0" applyNumberFormat="1" applyFont="1"/>
    <xf numFmtId="0" fontId="32" fillId="0" borderId="0" xfId="0" applyFont="1"/>
    <xf numFmtId="6" fontId="26" fillId="0" borderId="0" xfId="0" applyNumberFormat="1" applyFont="1"/>
    <xf numFmtId="6" fontId="32" fillId="27" borderId="57" xfId="0" applyNumberFormat="1" applyFont="1" applyFill="1" applyBorder="1"/>
    <xf numFmtId="6" fontId="32" fillId="28" borderId="60" xfId="0" applyNumberFormat="1" applyFont="1" applyFill="1" applyBorder="1"/>
    <xf numFmtId="171" fontId="0" fillId="0" borderId="0" xfId="0" applyNumberFormat="1"/>
    <xf numFmtId="5" fontId="23" fillId="0" borderId="12" xfId="0" applyNumberFormat="1" applyFont="1" applyBorder="1"/>
    <xf numFmtId="41" fontId="23" fillId="0" borderId="32" xfId="0" applyNumberFormat="1" applyFont="1" applyBorder="1"/>
    <xf numFmtId="164" fontId="23" fillId="0" borderId="0" xfId="42" applyNumberFormat="1" applyFont="1" applyBorder="1" applyAlignment="1">
      <alignment horizontal="center"/>
    </xf>
    <xf numFmtId="164" fontId="23" fillId="0" borderId="40" xfId="42" applyNumberFormat="1" applyFont="1" applyBorder="1" applyAlignment="1">
      <alignment horizontal="center"/>
    </xf>
    <xf numFmtId="165" fontId="23" fillId="0" borderId="0" xfId="28" applyNumberFormat="1" applyFont="1" applyBorder="1"/>
    <xf numFmtId="165" fontId="23" fillId="0" borderId="40" xfId="28" applyNumberFormat="1" applyFont="1" applyBorder="1"/>
    <xf numFmtId="0" fontId="24" fillId="0" borderId="61" xfId="0" applyFont="1" applyBorder="1"/>
    <xf numFmtId="0" fontId="24" fillId="0" borderId="61" xfId="0" applyFont="1" applyBorder="1" applyAlignment="1">
      <alignment horizontal="left"/>
    </xf>
    <xf numFmtId="0" fontId="24" fillId="0" borderId="64" xfId="0" applyFont="1" applyBorder="1"/>
    <xf numFmtId="0" fontId="24" fillId="0" borderId="66" xfId="0" applyFont="1" applyBorder="1" applyAlignment="1">
      <alignment horizontal="center"/>
    </xf>
    <xf numFmtId="172" fontId="23" fillId="0" borderId="68" xfId="0" applyNumberFormat="1" applyFont="1" applyBorder="1" applyAlignment="1">
      <alignment horizontal="center"/>
    </xf>
    <xf numFmtId="172" fontId="23" fillId="0" borderId="67" xfId="0" applyNumberFormat="1" applyFont="1" applyBorder="1" applyAlignment="1">
      <alignment horizontal="center"/>
    </xf>
    <xf numFmtId="172" fontId="23" fillId="0" borderId="69" xfId="0" applyNumberFormat="1" applyFont="1" applyBorder="1" applyAlignment="1">
      <alignment horizontal="center"/>
    </xf>
    <xf numFmtId="172" fontId="23" fillId="0" borderId="7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72" fontId="23" fillId="29" borderId="18" xfId="0" applyNumberFormat="1" applyFont="1" applyFill="1" applyBorder="1" applyAlignment="1">
      <alignment horizontal="center"/>
    </xf>
    <xf numFmtId="172" fontId="23" fillId="29" borderId="22" xfId="0" applyNumberFormat="1" applyFont="1" applyFill="1" applyBorder="1" applyAlignment="1">
      <alignment horizontal="center"/>
    </xf>
    <xf numFmtId="172" fontId="23" fillId="29" borderId="61" xfId="0" applyNumberFormat="1" applyFont="1" applyFill="1" applyBorder="1" applyAlignment="1">
      <alignment horizontal="center"/>
    </xf>
    <xf numFmtId="172" fontId="23" fillId="29" borderId="64" xfId="0" applyNumberFormat="1" applyFont="1" applyFill="1" applyBorder="1" applyAlignment="1">
      <alignment horizontal="center"/>
    </xf>
    <xf numFmtId="172" fontId="23" fillId="0" borderId="0" xfId="0" applyNumberFormat="1" applyFont="1"/>
    <xf numFmtId="172" fontId="23" fillId="0" borderId="18" xfId="0" applyNumberFormat="1" applyFont="1" applyBorder="1"/>
    <xf numFmtId="172" fontId="23" fillId="0" borderId="22" xfId="0" applyNumberFormat="1" applyFont="1" applyBorder="1"/>
    <xf numFmtId="172" fontId="0" fillId="0" borderId="0" xfId="0" applyNumberFormat="1"/>
    <xf numFmtId="164" fontId="0" fillId="0" borderId="0" xfId="42" applyNumberFormat="1" applyFont="1"/>
    <xf numFmtId="41" fontId="23" fillId="0" borderId="28" xfId="0" applyNumberFormat="1" applyFont="1" applyBorder="1"/>
    <xf numFmtId="166" fontId="23" fillId="0" borderId="12" xfId="42" applyNumberFormat="1" applyFont="1" applyFill="1" applyBorder="1" applyAlignment="1">
      <alignment horizontal="center"/>
    </xf>
    <xf numFmtId="9" fontId="23" fillId="0" borderId="12" xfId="0" applyNumberFormat="1" applyFont="1" applyBorder="1"/>
    <xf numFmtId="41" fontId="23" fillId="0" borderId="12" xfId="0" applyNumberFormat="1" applyFont="1" applyBorder="1"/>
    <xf numFmtId="0" fontId="23" fillId="0" borderId="12" xfId="0" applyFont="1" applyBorder="1"/>
    <xf numFmtId="41" fontId="23" fillId="24" borderId="27" xfId="0" applyNumberFormat="1" applyFont="1" applyFill="1" applyBorder="1"/>
    <xf numFmtId="41" fontId="23" fillId="24" borderId="28" xfId="0" applyNumberFormat="1" applyFont="1" applyFill="1" applyBorder="1"/>
    <xf numFmtId="165" fontId="23" fillId="0" borderId="12" xfId="28" applyNumberFormat="1" applyFont="1" applyFill="1" applyBorder="1"/>
    <xf numFmtId="41" fontId="23" fillId="24" borderId="12" xfId="0" applyNumberFormat="1" applyFont="1" applyFill="1" applyBorder="1"/>
    <xf numFmtId="0" fontId="33" fillId="0" borderId="0" xfId="0" applyFont="1"/>
    <xf numFmtId="172" fontId="23" fillId="0" borderId="40" xfId="0" applyNumberFormat="1" applyFont="1" applyBorder="1"/>
    <xf numFmtId="0" fontId="24" fillId="0" borderId="34" xfId="0" applyFont="1" applyBorder="1" applyAlignment="1">
      <alignment horizontal="center"/>
    </xf>
    <xf numFmtId="172" fontId="23" fillId="0" borderId="12" xfId="0" applyNumberFormat="1" applyFont="1" applyBorder="1" applyAlignment="1">
      <alignment horizontal="center"/>
    </xf>
    <xf numFmtId="172" fontId="23" fillId="0" borderId="28" xfId="0" applyNumberFormat="1" applyFont="1" applyBorder="1" applyAlignment="1">
      <alignment horizontal="center"/>
    </xf>
    <xf numFmtId="0" fontId="24" fillId="0" borderId="63" xfId="0" applyFont="1" applyBorder="1" applyAlignment="1">
      <alignment horizontal="center" wrapText="1"/>
    </xf>
    <xf numFmtId="164" fontId="23" fillId="0" borderId="38" xfId="42" applyNumberFormat="1" applyFont="1" applyBorder="1" applyAlignment="1">
      <alignment horizontal="center"/>
    </xf>
    <xf numFmtId="164" fontId="23" fillId="0" borderId="36" xfId="42" applyNumberFormat="1" applyFont="1" applyBorder="1" applyAlignment="1">
      <alignment horizontal="center"/>
    </xf>
    <xf numFmtId="9" fontId="23" fillId="0" borderId="38" xfId="42" applyFont="1" applyBorder="1" applyAlignment="1">
      <alignment horizontal="center"/>
    </xf>
    <xf numFmtId="164" fontId="23" fillId="0" borderId="62" xfId="42" applyNumberFormat="1" applyFont="1" applyBorder="1" applyAlignment="1">
      <alignment horizontal="center"/>
    </xf>
    <xf numFmtId="164" fontId="23" fillId="0" borderId="65" xfId="42" applyNumberFormat="1" applyFont="1" applyBorder="1" applyAlignment="1">
      <alignment horizontal="center"/>
    </xf>
    <xf numFmtId="164" fontId="24" fillId="0" borderId="71" xfId="42" applyNumberFormat="1" applyFont="1" applyBorder="1" applyAlignment="1">
      <alignment horizontal="center"/>
    </xf>
    <xf numFmtId="164" fontId="24" fillId="0" borderId="56" xfId="42" applyNumberFormat="1" applyFont="1" applyBorder="1" applyAlignment="1">
      <alignment horizontal="center"/>
    </xf>
    <xf numFmtId="0" fontId="24" fillId="0" borderId="74" xfId="0" applyFont="1" applyBorder="1" applyAlignment="1">
      <alignment horizontal="center"/>
    </xf>
    <xf numFmtId="0" fontId="24" fillId="29" borderId="24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75" xfId="0" applyFont="1" applyBorder="1" applyAlignment="1">
      <alignment horizontal="center" wrapText="1"/>
    </xf>
    <xf numFmtId="172" fontId="23" fillId="0" borderId="29" xfId="0" applyNumberFormat="1" applyFont="1" applyBorder="1" applyAlignment="1">
      <alignment horizontal="center"/>
    </xf>
    <xf numFmtId="172" fontId="23" fillId="0" borderId="30" xfId="0" applyNumberFormat="1" applyFont="1" applyBorder="1" applyAlignment="1">
      <alignment horizontal="center"/>
    </xf>
    <xf numFmtId="172" fontId="23" fillId="0" borderId="72" xfId="0" applyNumberFormat="1" applyFont="1" applyBorder="1" applyAlignment="1">
      <alignment horizontal="center"/>
    </xf>
    <xf numFmtId="172" fontId="23" fillId="0" borderId="73" xfId="0" applyNumberFormat="1" applyFont="1" applyBorder="1" applyAlignment="1">
      <alignment horizontal="center"/>
    </xf>
    <xf numFmtId="0" fontId="24" fillId="29" borderId="56" xfId="0" applyFont="1" applyFill="1" applyBorder="1" applyAlignment="1">
      <alignment horizontal="center"/>
    </xf>
    <xf numFmtId="172" fontId="23" fillId="29" borderId="29" xfId="0" applyNumberFormat="1" applyFont="1" applyFill="1" applyBorder="1" applyAlignment="1">
      <alignment horizontal="center"/>
    </xf>
    <xf numFmtId="172" fontId="23" fillId="29" borderId="30" xfId="0" applyNumberFormat="1" applyFont="1" applyFill="1" applyBorder="1" applyAlignment="1">
      <alignment horizontal="center"/>
    </xf>
    <xf numFmtId="172" fontId="23" fillId="29" borderId="72" xfId="0" applyNumberFormat="1" applyFont="1" applyFill="1" applyBorder="1" applyAlignment="1">
      <alignment horizontal="center"/>
    </xf>
    <xf numFmtId="172" fontId="23" fillId="29" borderId="73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42" fontId="23" fillId="0" borderId="62" xfId="42" applyNumberFormat="1" applyFont="1" applyBorder="1" applyAlignment="1">
      <alignment horizontal="center"/>
    </xf>
    <xf numFmtId="42" fontId="23" fillId="0" borderId="65" xfId="42" applyNumberFormat="1" applyFont="1" applyBorder="1" applyAlignment="1">
      <alignment horizontal="center"/>
    </xf>
    <xf numFmtId="164" fontId="23" fillId="0" borderId="76" xfId="42" applyNumberFormat="1" applyFont="1" applyBorder="1" applyAlignment="1">
      <alignment horizontal="center"/>
    </xf>
    <xf numFmtId="164" fontId="23" fillId="0" borderId="77" xfId="42" applyNumberFormat="1" applyFont="1" applyBorder="1" applyAlignment="1">
      <alignment horizontal="center"/>
    </xf>
    <xf numFmtId="5" fontId="23" fillId="24" borderId="12" xfId="0" applyNumberFormat="1" applyFont="1" applyFill="1" applyBorder="1"/>
    <xf numFmtId="41" fontId="23" fillId="0" borderId="36" xfId="0" applyNumberFormat="1" applyFont="1" applyBorder="1"/>
    <xf numFmtId="5" fontId="24" fillId="25" borderId="57" xfId="0" applyNumberFormat="1" applyFont="1" applyFill="1" applyBorder="1" applyAlignment="1">
      <alignment horizontal="right"/>
    </xf>
    <xf numFmtId="9" fontId="23" fillId="0" borderId="14" xfId="0" applyNumberFormat="1" applyFont="1" applyBorder="1"/>
    <xf numFmtId="9" fontId="23" fillId="0" borderId="0" xfId="0" applyNumberFormat="1" applyFont="1"/>
    <xf numFmtId="9" fontId="23" fillId="0" borderId="32" xfId="0" applyNumberFormat="1" applyFont="1" applyBorder="1"/>
    <xf numFmtId="9" fontId="23" fillId="0" borderId="11" xfId="0" applyNumberFormat="1" applyFont="1" applyBorder="1"/>
    <xf numFmtId="9" fontId="23" fillId="0" borderId="55" xfId="0" applyNumberFormat="1" applyFont="1" applyBorder="1"/>
    <xf numFmtId="164" fontId="23" fillId="0" borderId="14" xfId="42" applyNumberFormat="1" applyFont="1" applyFill="1" applyBorder="1"/>
    <xf numFmtId="164" fontId="23" fillId="0" borderId="32" xfId="42" applyNumberFormat="1" applyFont="1" applyBorder="1"/>
    <xf numFmtId="5" fontId="23" fillId="0" borderId="29" xfId="0" applyNumberFormat="1" applyFont="1" applyBorder="1"/>
    <xf numFmtId="165" fontId="23" fillId="0" borderId="29" xfId="28" applyNumberFormat="1" applyFont="1" applyBorder="1"/>
    <xf numFmtId="165" fontId="23" fillId="0" borderId="29" xfId="28" applyNumberFormat="1" applyFont="1" applyFill="1" applyBorder="1"/>
    <xf numFmtId="165" fontId="23" fillId="0" borderId="30" xfId="28" applyNumberFormat="1" applyFont="1" applyFill="1" applyBorder="1"/>
    <xf numFmtId="0" fontId="23" fillId="0" borderId="29" xfId="0" applyFont="1" applyBorder="1"/>
    <xf numFmtId="164" fontId="24" fillId="0" borderId="0" xfId="42" applyNumberFormat="1" applyFont="1" applyBorder="1" applyAlignment="1">
      <alignment horizontal="center"/>
    </xf>
    <xf numFmtId="5" fontId="23" fillId="0" borderId="18" xfId="0" applyNumberFormat="1" applyFont="1" applyBorder="1"/>
    <xf numFmtId="170" fontId="22" fillId="0" borderId="0" xfId="42" applyNumberFormat="1" applyFont="1" applyFill="1"/>
    <xf numFmtId="41" fontId="23" fillId="0" borderId="18" xfId="0" applyNumberFormat="1" applyFont="1" applyBorder="1"/>
    <xf numFmtId="170" fontId="22" fillId="0" borderId="0" xfId="42" applyNumberFormat="1" applyFont="1"/>
    <xf numFmtId="41" fontId="23" fillId="0" borderId="23" xfId="0" applyNumberFormat="1" applyFont="1" applyBorder="1"/>
    <xf numFmtId="41" fontId="23" fillId="24" borderId="26" xfId="0" applyNumberFormat="1" applyFont="1" applyFill="1" applyBorder="1"/>
    <xf numFmtId="41" fontId="23" fillId="24" borderId="22" xfId="0" applyNumberFormat="1" applyFont="1" applyFill="1" applyBorder="1"/>
    <xf numFmtId="41" fontId="23" fillId="24" borderId="23" xfId="0" applyNumberFormat="1" applyFont="1" applyFill="1" applyBorder="1"/>
    <xf numFmtId="41" fontId="23" fillId="24" borderId="36" xfId="0" applyNumberFormat="1" applyFont="1" applyFill="1" applyBorder="1"/>
    <xf numFmtId="41" fontId="23" fillId="24" borderId="40" xfId="0" applyNumberFormat="1" applyFont="1" applyFill="1" applyBorder="1"/>
    <xf numFmtId="41" fontId="23" fillId="0" borderId="22" xfId="0" applyNumberFormat="1" applyFont="1" applyBorder="1"/>
    <xf numFmtId="165" fontId="23" fillId="0" borderId="18" xfId="28" applyNumberFormat="1" applyFont="1" applyFill="1" applyBorder="1"/>
    <xf numFmtId="41" fontId="22" fillId="0" borderId="0" xfId="0" applyNumberFormat="1" applyFont="1"/>
    <xf numFmtId="5" fontId="23" fillId="24" borderId="27" xfId="0" applyNumberFormat="1" applyFont="1" applyFill="1" applyBorder="1"/>
    <xf numFmtId="41" fontId="23" fillId="24" borderId="18" xfId="0" applyNumberFormat="1" applyFont="1" applyFill="1" applyBorder="1"/>
    <xf numFmtId="5" fontId="23" fillId="24" borderId="28" xfId="0" applyNumberFormat="1" applyFont="1" applyFill="1" applyBorder="1"/>
    <xf numFmtId="5" fontId="23" fillId="0" borderId="28" xfId="0" applyNumberFormat="1" applyFont="1" applyBorder="1"/>
    <xf numFmtId="5" fontId="23" fillId="0" borderId="22" xfId="0" applyNumberFormat="1" applyFont="1" applyBorder="1"/>
    <xf numFmtId="41" fontId="23" fillId="0" borderId="40" xfId="0" applyNumberFormat="1" applyFont="1" applyBorder="1"/>
    <xf numFmtId="165" fontId="23" fillId="24" borderId="12" xfId="28" applyNumberFormat="1" applyFont="1" applyFill="1" applyBorder="1"/>
    <xf numFmtId="5" fontId="24" fillId="0" borderId="26" xfId="0" applyNumberFormat="1" applyFont="1" applyBorder="1"/>
    <xf numFmtId="165" fontId="23" fillId="24" borderId="27" xfId="28" applyNumberFormat="1" applyFont="1" applyFill="1" applyBorder="1"/>
    <xf numFmtId="5" fontId="23" fillId="0" borderId="39" xfId="0" applyNumberFormat="1" applyFont="1" applyBorder="1"/>
    <xf numFmtId="10" fontId="23" fillId="0" borderId="39" xfId="42" applyNumberFormat="1" applyFont="1" applyFill="1" applyBorder="1" applyAlignment="1"/>
    <xf numFmtId="165" fontId="23" fillId="0" borderId="39" xfId="0" applyNumberFormat="1" applyFont="1" applyBorder="1"/>
    <xf numFmtId="10" fontId="23" fillId="0" borderId="19" xfId="42" applyNumberFormat="1" applyFont="1" applyFill="1" applyBorder="1" applyAlignment="1"/>
    <xf numFmtId="5" fontId="22" fillId="0" borderId="0" xfId="42" applyNumberFormat="1" applyFont="1" applyFill="1" applyAlignment="1">
      <alignment horizontal="right"/>
    </xf>
    <xf numFmtId="10" fontId="22" fillId="0" borderId="0" xfId="42" applyNumberFormat="1" applyFont="1" applyFill="1" applyAlignment="1">
      <alignment horizontal="right"/>
    </xf>
    <xf numFmtId="165" fontId="22" fillId="0" borderId="0" xfId="42" applyNumberFormat="1" applyFont="1" applyFill="1" applyAlignment="1">
      <alignment horizontal="right"/>
    </xf>
    <xf numFmtId="165" fontId="34" fillId="0" borderId="0" xfId="28" applyNumberFormat="1" applyFont="1" applyFill="1" applyBorder="1"/>
    <xf numFmtId="165" fontId="23" fillId="0" borderId="0" xfId="0" applyNumberFormat="1" applyFont="1"/>
    <xf numFmtId="168" fontId="23" fillId="0" borderId="0" xfId="0" applyNumberFormat="1" applyFont="1"/>
    <xf numFmtId="169" fontId="23" fillId="0" borderId="0" xfId="0" applyNumberFormat="1" applyFont="1"/>
    <xf numFmtId="0" fontId="25" fillId="0" borderId="0" xfId="0" applyFont="1" applyAlignment="1">
      <alignment horizontal="center"/>
    </xf>
    <xf numFmtId="0" fontId="23" fillId="0" borderId="5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43" fontId="23" fillId="0" borderId="51" xfId="28" applyFont="1" applyBorder="1" applyAlignment="1">
      <alignment horizontal="center"/>
    </xf>
    <xf numFmtId="43" fontId="23" fillId="0" borderId="50" xfId="28" applyFont="1" applyBorder="1" applyAlignment="1">
      <alignment horizontal="center"/>
    </xf>
    <xf numFmtId="43" fontId="23" fillId="0" borderId="52" xfId="28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43" fontId="23" fillId="0" borderId="50" xfId="28" applyFont="1" applyFill="1" applyBorder="1" applyAlignment="1">
      <alignment horizontal="center"/>
    </xf>
    <xf numFmtId="43" fontId="23" fillId="0" borderId="53" xfId="28" applyFont="1" applyFill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172" fontId="24" fillId="0" borderId="19" xfId="0" applyNumberFormat="1" applyFont="1" applyBorder="1" applyAlignment="1">
      <alignment horizontal="center" vertical="center" wrapText="1"/>
    </xf>
    <xf numFmtId="172" fontId="24" fillId="0" borderId="24" xfId="0" applyNumberFormat="1" applyFont="1" applyBorder="1" applyAlignment="1">
      <alignment horizontal="center" vertical="center" wrapText="1"/>
    </xf>
    <xf numFmtId="0" fontId="24" fillId="29" borderId="19" xfId="0" applyFont="1" applyFill="1" applyBorder="1" applyAlignment="1">
      <alignment horizontal="center"/>
    </xf>
    <xf numFmtId="0" fontId="24" fillId="29" borderId="71" xfId="0" applyFont="1" applyFill="1" applyBorder="1" applyAlignment="1">
      <alignment horizontal="center"/>
    </xf>
    <xf numFmtId="0" fontId="24" fillId="0" borderId="71" xfId="0" applyFont="1" applyBorder="1" applyAlignment="1">
      <alignment horizontal="center" wrapText="1"/>
    </xf>
    <xf numFmtId="0" fontId="24" fillId="0" borderId="56" xfId="0" applyFont="1" applyBorder="1" applyAlignment="1">
      <alignment horizontal="center" wrapText="1"/>
    </xf>
    <xf numFmtId="172" fontId="24" fillId="0" borderId="39" xfId="0" applyNumberFormat="1" applyFont="1" applyBorder="1" applyAlignment="1">
      <alignment horizontal="center" vertical="center"/>
    </xf>
    <xf numFmtId="172" fontId="24" fillId="0" borderId="37" xfId="0" applyNumberFormat="1" applyFont="1" applyBorder="1" applyAlignment="1">
      <alignment horizontal="center" vertical="center"/>
    </xf>
    <xf numFmtId="0" fontId="23" fillId="0" borderId="78" xfId="0" applyFont="1" applyBorder="1" applyAlignment="1">
      <alignment horizontal="center"/>
    </xf>
    <xf numFmtId="166" fontId="23" fillId="0" borderId="27" xfId="42" applyNumberFormat="1" applyFont="1" applyFill="1" applyBorder="1" applyAlignment="1">
      <alignment horizontal="center"/>
    </xf>
    <xf numFmtId="41" fontId="23" fillId="0" borderId="12" xfId="0" applyNumberFormat="1" applyFont="1" applyBorder="1" applyAlignment="1">
      <alignment horizontal="right"/>
    </xf>
    <xf numFmtId="41" fontId="23" fillId="24" borderId="28" xfId="0" applyNumberFormat="1" applyFont="1" applyFill="1" applyBorder="1" applyAlignment="1">
      <alignment horizontal="right"/>
    </xf>
    <xf numFmtId="5" fontId="24" fillId="0" borderId="42" xfId="0" applyNumberFormat="1" applyFont="1" applyBorder="1" applyAlignment="1">
      <alignment horizontal="right"/>
    </xf>
    <xf numFmtId="5" fontId="24" fillId="25" borderId="41" xfId="0" applyNumberFormat="1" applyFont="1" applyFill="1" applyBorder="1" applyAlignment="1">
      <alignment horizontal="right"/>
    </xf>
    <xf numFmtId="0" fontId="23" fillId="0" borderId="0" xfId="0" applyFont="1" applyBorder="1"/>
    <xf numFmtId="166" fontId="23" fillId="0" borderId="38" xfId="42" applyNumberFormat="1" applyFont="1" applyFill="1" applyBorder="1" applyAlignment="1">
      <alignment horizontal="center"/>
    </xf>
    <xf numFmtId="164" fontId="23" fillId="0" borderId="36" xfId="42" applyNumberFormat="1" applyFont="1" applyFill="1" applyBorder="1" applyAlignment="1">
      <alignment horizontal="center"/>
    </xf>
    <xf numFmtId="164" fontId="23" fillId="0" borderId="38" xfId="42" applyNumberFormat="1" applyFont="1" applyFill="1" applyBorder="1"/>
    <xf numFmtId="5" fontId="23" fillId="0" borderId="38" xfId="0" applyNumberFormat="1" applyFont="1" applyBorder="1"/>
    <xf numFmtId="41" fontId="23" fillId="0" borderId="38" xfId="0" applyNumberFormat="1" applyFont="1" applyBorder="1"/>
    <xf numFmtId="5" fontId="24" fillId="0" borderId="47" xfId="0" applyNumberFormat="1" applyFont="1" applyBorder="1"/>
    <xf numFmtId="0" fontId="23" fillId="0" borderId="38" xfId="0" applyFont="1" applyBorder="1"/>
    <xf numFmtId="41" fontId="23" fillId="24" borderId="47" xfId="0" applyNumberFormat="1" applyFont="1" applyFill="1" applyBorder="1"/>
    <xf numFmtId="5" fontId="24" fillId="0" borderId="38" xfId="0" applyNumberFormat="1" applyFont="1" applyBorder="1"/>
    <xf numFmtId="165" fontId="23" fillId="0" borderId="38" xfId="28" applyNumberFormat="1" applyFont="1" applyFill="1" applyBorder="1"/>
    <xf numFmtId="41" fontId="23" fillId="24" borderId="38" xfId="0" applyNumberFormat="1" applyFont="1" applyFill="1" applyBorder="1"/>
    <xf numFmtId="5" fontId="24" fillId="0" borderId="36" xfId="0" applyNumberFormat="1" applyFont="1" applyBorder="1"/>
    <xf numFmtId="5" fontId="24" fillId="0" borderId="75" xfId="0" applyNumberFormat="1" applyFont="1" applyBorder="1"/>
    <xf numFmtId="0" fontId="23" fillId="0" borderId="79" xfId="0" applyFont="1" applyBorder="1" applyAlignment="1">
      <alignment horizontal="center"/>
    </xf>
    <xf numFmtId="166" fontId="23" fillId="0" borderId="68" xfId="42" applyNumberFormat="1" applyFont="1" applyFill="1" applyBorder="1" applyAlignment="1">
      <alignment horizontal="center"/>
    </xf>
    <xf numFmtId="164" fontId="23" fillId="0" borderId="67" xfId="42" applyNumberFormat="1" applyFont="1" applyFill="1" applyBorder="1" applyAlignment="1">
      <alignment horizontal="center"/>
    </xf>
    <xf numFmtId="9" fontId="23" fillId="0" borderId="68" xfId="0" applyNumberFormat="1" applyFont="1" applyBorder="1"/>
    <xf numFmtId="5" fontId="23" fillId="0" borderId="68" xfId="0" applyNumberFormat="1" applyFont="1" applyBorder="1"/>
    <xf numFmtId="41" fontId="23" fillId="0" borderId="68" xfId="0" applyNumberFormat="1" applyFont="1" applyBorder="1"/>
    <xf numFmtId="5" fontId="24" fillId="0" borderId="80" xfId="0" applyNumberFormat="1" applyFont="1" applyBorder="1"/>
    <xf numFmtId="0" fontId="23" fillId="0" borderId="68" xfId="0" applyFont="1" applyBorder="1"/>
    <xf numFmtId="41" fontId="23" fillId="0" borderId="68" xfId="0" applyNumberFormat="1" applyFont="1" applyBorder="1" applyAlignment="1">
      <alignment horizontal="right"/>
    </xf>
    <xf numFmtId="41" fontId="23" fillId="24" borderId="80" xfId="0" applyNumberFormat="1" applyFont="1" applyFill="1" applyBorder="1"/>
    <xf numFmtId="41" fontId="23" fillId="24" borderId="67" xfId="0" applyNumberFormat="1" applyFont="1" applyFill="1" applyBorder="1"/>
    <xf numFmtId="41" fontId="23" fillId="0" borderId="67" xfId="0" applyNumberFormat="1" applyFont="1" applyBorder="1"/>
    <xf numFmtId="5" fontId="24" fillId="0" borderId="68" xfId="0" applyNumberFormat="1" applyFont="1" applyBorder="1"/>
    <xf numFmtId="165" fontId="23" fillId="0" borderId="68" xfId="28" applyNumberFormat="1" applyFont="1" applyFill="1" applyBorder="1"/>
    <xf numFmtId="41" fontId="23" fillId="24" borderId="68" xfId="0" applyNumberFormat="1" applyFont="1" applyFill="1" applyBorder="1"/>
    <xf numFmtId="41" fontId="23" fillId="24" borderId="67" xfId="0" applyNumberFormat="1" applyFont="1" applyFill="1" applyBorder="1" applyAlignment="1">
      <alignment horizontal="right"/>
    </xf>
    <xf numFmtId="5" fontId="24" fillId="0" borderId="67" xfId="0" applyNumberFormat="1" applyFont="1" applyBorder="1"/>
    <xf numFmtId="5" fontId="24" fillId="0" borderId="74" xfId="0" applyNumberFormat="1" applyFont="1" applyBorder="1"/>
    <xf numFmtId="0" fontId="23" fillId="0" borderId="66" xfId="0" applyFont="1" applyBorder="1"/>
    <xf numFmtId="5" fontId="24" fillId="0" borderId="57" xfId="0" applyNumberFormat="1" applyFont="1" applyBorder="1" applyAlignment="1">
      <alignment horizontal="right"/>
    </xf>
    <xf numFmtId="5" fontId="24" fillId="0" borderId="57" xfId="0" applyNumberFormat="1" applyFont="1" applyBorder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one Watson" id="{AD9EC802-C73B-4BDA-9B39-6F5B1C64F9F2}" userId="Stone Watson" providerId="None"/>
  <person displayName="Crystal Collins" id="{0E8B556B-5F5D-473A-AE96-220EAFEB42AC}" userId="Crystal Collins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personId="{0E8B556B-5F5D-473A-AE96-220EAFEB42AC}" id="{4373FA77-D627-4307-8831-B16115F757C7}">
    <text>Includes funding for UT College of Medicine, UT Family Practice and other specialized medical units in Memphis.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personId="{AD9EC802-C73B-4BDA-9B39-6F5B1C64F9F2}" id="{CF4E1AFF-7C94-468F-BCC8-017AF49ABCBF}">
    <text>Total Outcomes and Salary per FY26 Governor's Budget.</text>
  </threadedComment>
  <threadedComment ref="C2" personId="{AD9EC802-C73B-4BDA-9B39-6F5B1C64F9F2}" id="{9DD1F3C8-5C1A-4B00-968C-851915BC34A1}">
    <text>Finance and Administration's Analysis of Outcomes and Salary for FY26 Governor's Budget.</text>
  </threadedComment>
  <threadedComment ref="E2" personId="{AD9EC802-C73B-4BDA-9B39-6F5B1C64F9F2}" id="{8AE4ACF8-0076-4820-912A-E2B02A46D3D5}">
    <text>THEC calculated state share of salary 1% increase by institution with a 2.63% salary increase.</text>
  </threadedComment>
  <threadedComment ref="F2" personId="{AD9EC802-C73B-4BDA-9B39-6F5B1C64F9F2}" id="{AE0CF154-5576-4F23-B137-A5F966B74EDE}">
    <text>Finance and Administration's calculated salary. F&amp;A utilized the lower of 1% salaries between FY25 and FY26 to create an "FY26 1% Salary," which then utilizes a 2.63% salary increase.</text>
  </threadedComment>
  <threadedComment ref="G2" personId="{AD9EC802-C73B-4BDA-9B39-6F5B1C64F9F2}" id="{B029AF59-B5F4-4D67-9AA2-B7BBE8F015D3}">
    <text>Difference between THEC's 1% Salary File and F&amp;A Salary File after utilizing a 2.63% salary increase.</text>
  </threadedComment>
  <threadedComment ref="H2" personId="{AD9EC802-C73B-4BDA-9B39-6F5B1C64F9F2}" id="{535701D0-BAC2-4686-89B6-5B963C477101}">
    <text>Change from THEC 1% salary file and F&amp;A salary file.</text>
  </threadedComment>
  <threadedComment ref="I2" personId="{AD9EC802-C73B-4BDA-9B39-6F5B1C64F9F2}" id="{3E0070E9-ED9A-4900-A399-BA19EA5E2A5E}">
    <text>FY26 Salary was distributed utilizing the Outcomes-Based Funding Formula. This column illustrates the share of funding based on THEC's November appropriations request (THEC Rec).</text>
  </threadedComment>
  <threadedComment ref="J2" personId="{AD9EC802-C73B-4BDA-9B39-6F5B1C64F9F2}" id="{A2520561-C480-400B-AB28-508BEB27D99B}">
    <text>Calculates salary by distributing total salary dollars ($35.8 M calculated in column F) based on the institution's share of funding (column I). 
Values match actual salary dollars in FY26 Governor's budget (column D)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P30"/>
  <sheetViews>
    <sheetView tabSelected="1" view="pageBreakPreview" zoomScaleNormal="75" zoomScaleSheetLayoutView="100" workbookViewId="0">
      <pane xSplit="1" topLeftCell="B1" activePane="topRight" state="frozen"/>
      <selection pane="topRight" activeCell="H8" sqref="H8"/>
    </sheetView>
  </sheetViews>
  <sheetFormatPr defaultColWidth="9.140625" defaultRowHeight="18" x14ac:dyDescent="0.35"/>
  <cols>
    <col min="1" max="1" width="35.42578125" style="1" customWidth="1"/>
    <col min="2" max="2" width="19.140625" style="1" bestFit="1" customWidth="1"/>
    <col min="3" max="3" width="15.140625" style="1" bestFit="1" customWidth="1"/>
    <col min="4" max="4" width="19.140625" style="1" bestFit="1" customWidth="1"/>
    <col min="5" max="5" width="22.42578125" style="1" bestFit="1" customWidth="1"/>
    <col min="6" max="6" width="16.140625" style="1" bestFit="1" customWidth="1"/>
    <col min="7" max="7" width="17.42578125" style="1" bestFit="1" customWidth="1"/>
    <col min="8" max="8" width="24.28515625" style="1" customWidth="1"/>
    <col min="9" max="9" width="17.140625" style="1" hidden="1" customWidth="1"/>
    <col min="10" max="10" width="15.7109375" style="1" bestFit="1" customWidth="1"/>
    <col min="11" max="11" width="17.140625" style="1" customWidth="1"/>
    <col min="12" max="12" width="19.140625" style="1" bestFit="1" customWidth="1"/>
    <col min="13" max="13" width="16.140625" style="1" customWidth="1"/>
    <col min="14" max="14" width="19.140625" style="1" bestFit="1" customWidth="1"/>
    <col min="15" max="15" width="16.28515625" style="1" bestFit="1" customWidth="1"/>
    <col min="16" max="16" width="13" style="1" customWidth="1"/>
    <col min="17" max="16384" width="9.140625" style="1"/>
  </cols>
  <sheetData>
    <row r="1" spans="1:16" ht="22.5" x14ac:dyDescent="0.4">
      <c r="A1" s="274" t="s">
        <v>169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18.75" thickBot="1" x14ac:dyDescent="0.4"/>
    <row r="3" spans="1:16" x14ac:dyDescent="0.35">
      <c r="A3" s="2"/>
      <c r="B3" s="23" t="s">
        <v>0</v>
      </c>
      <c r="C3" s="275" t="s">
        <v>1</v>
      </c>
      <c r="D3" s="276"/>
      <c r="E3" s="275" t="s">
        <v>2</v>
      </c>
      <c r="F3" s="280"/>
      <c r="G3" s="280"/>
      <c r="H3" s="280"/>
      <c r="I3" s="280"/>
      <c r="J3" s="276"/>
      <c r="K3" s="36" t="s">
        <v>1</v>
      </c>
      <c r="L3" s="277" t="s">
        <v>1</v>
      </c>
      <c r="M3" s="278"/>
      <c r="N3" s="279"/>
      <c r="O3" s="37" t="s">
        <v>3</v>
      </c>
      <c r="P3" s="23" t="s">
        <v>4</v>
      </c>
    </row>
    <row r="4" spans="1:16" x14ac:dyDescent="0.35">
      <c r="A4" s="3"/>
      <c r="B4" s="24" t="s">
        <v>4</v>
      </c>
      <c r="C4" s="33" t="s">
        <v>5</v>
      </c>
      <c r="D4" s="38" t="s">
        <v>6</v>
      </c>
      <c r="E4" s="163" t="s">
        <v>7</v>
      </c>
      <c r="F4" s="49" t="s">
        <v>8</v>
      </c>
      <c r="G4" s="53" t="s">
        <v>9</v>
      </c>
      <c r="H4" s="53" t="s">
        <v>10</v>
      </c>
      <c r="I4" s="53" t="s">
        <v>11</v>
      </c>
      <c r="J4" s="54" t="s">
        <v>12</v>
      </c>
      <c r="K4" s="55" t="s">
        <v>13</v>
      </c>
      <c r="L4" s="56" t="s">
        <v>4</v>
      </c>
      <c r="M4" s="57" t="s">
        <v>13</v>
      </c>
      <c r="N4" s="58" t="s">
        <v>14</v>
      </c>
      <c r="O4" s="56" t="s">
        <v>4</v>
      </c>
      <c r="P4" s="59" t="s">
        <v>15</v>
      </c>
    </row>
    <row r="5" spans="1:16" x14ac:dyDescent="0.35">
      <c r="A5" s="4" t="s">
        <v>16</v>
      </c>
      <c r="B5" s="25" t="s">
        <v>17</v>
      </c>
      <c r="C5" s="34" t="s">
        <v>18</v>
      </c>
      <c r="D5" s="25" t="s">
        <v>19</v>
      </c>
      <c r="E5" s="164" t="s">
        <v>20</v>
      </c>
      <c r="F5" s="50" t="s">
        <v>18</v>
      </c>
      <c r="G5" s="60" t="s">
        <v>21</v>
      </c>
      <c r="H5" s="60" t="s">
        <v>21</v>
      </c>
      <c r="I5" s="61" t="s">
        <v>22</v>
      </c>
      <c r="J5" s="25" t="s">
        <v>4</v>
      </c>
      <c r="K5" s="62" t="s">
        <v>23</v>
      </c>
      <c r="L5" s="63" t="s">
        <v>17</v>
      </c>
      <c r="M5" s="61" t="s">
        <v>17</v>
      </c>
      <c r="N5" s="25" t="s">
        <v>17</v>
      </c>
      <c r="O5" s="63" t="s">
        <v>17</v>
      </c>
      <c r="P5" s="64" t="s">
        <v>24</v>
      </c>
    </row>
    <row r="6" spans="1:16" x14ac:dyDescent="0.35">
      <c r="A6" s="5" t="s">
        <v>25</v>
      </c>
      <c r="B6" s="228"/>
      <c r="C6" s="229"/>
      <c r="D6" s="228"/>
      <c r="E6" s="229"/>
      <c r="F6" s="230"/>
      <c r="G6" s="231"/>
      <c r="H6" s="231"/>
      <c r="I6" s="42"/>
      <c r="J6" s="228"/>
      <c r="K6" s="232"/>
      <c r="L6" s="230"/>
      <c r="M6" s="231"/>
      <c r="N6" s="233"/>
      <c r="O6" s="234"/>
      <c r="P6" s="228"/>
    </row>
    <row r="7" spans="1:16" x14ac:dyDescent="0.35">
      <c r="A7" s="3" t="s">
        <v>26</v>
      </c>
      <c r="B7" s="26">
        <v>76665300</v>
      </c>
      <c r="C7" s="74">
        <v>-877900</v>
      </c>
      <c r="D7" s="26">
        <f>SUM(B7:C7)</f>
        <v>75787400</v>
      </c>
      <c r="E7" s="74">
        <v>2495700</v>
      </c>
      <c r="F7" s="39">
        <v>803600</v>
      </c>
      <c r="G7" s="42">
        <v>1692100</v>
      </c>
      <c r="H7" s="42">
        <f>356700+300000</f>
        <v>656700</v>
      </c>
      <c r="I7" s="42">
        <v>0</v>
      </c>
      <c r="J7" s="26">
        <v>-166500</v>
      </c>
      <c r="K7" s="235">
        <v>-23000</v>
      </c>
      <c r="L7" s="39">
        <f>SUM(D7,F7:J7)</f>
        <v>78773300</v>
      </c>
      <c r="M7" s="42">
        <f>SUM(K7:K7)</f>
        <v>-23000</v>
      </c>
      <c r="N7" s="26">
        <f t="shared" ref="N7:N12" si="0">L7+M7</f>
        <v>78750300</v>
      </c>
      <c r="O7" s="39">
        <f t="shared" ref="O7:O12" si="1">L7-B7</f>
        <v>2108000</v>
      </c>
      <c r="P7" s="24">
        <f t="shared" ref="P7:P13" si="2">L7/B7-1</f>
        <v>2.7496142322537054E-2</v>
      </c>
    </row>
    <row r="8" spans="1:16" x14ac:dyDescent="0.35">
      <c r="A8" s="3" t="s">
        <v>27</v>
      </c>
      <c r="B8" s="27">
        <v>103770500</v>
      </c>
      <c r="C8" s="165">
        <v>-1301600</v>
      </c>
      <c r="D8" s="27">
        <f t="shared" ref="D8:D12" si="3">SUM(B8:C8)</f>
        <v>102468900</v>
      </c>
      <c r="E8" s="165">
        <v>3305200</v>
      </c>
      <c r="F8" s="51">
        <v>1064300</v>
      </c>
      <c r="G8" s="42">
        <v>2240900</v>
      </c>
      <c r="H8" s="65">
        <f>648500+542300</f>
        <v>1190800</v>
      </c>
      <c r="I8" s="65">
        <v>0</v>
      </c>
      <c r="J8" s="27">
        <v>-325200</v>
      </c>
      <c r="K8" s="236">
        <v>-35100</v>
      </c>
      <c r="L8" s="51">
        <f t="shared" ref="L8:L12" si="4">SUM(D8,F8:J8)</f>
        <v>106639700</v>
      </c>
      <c r="M8" s="65">
        <f t="shared" ref="M8:M11" si="5">SUM(K8:K8)</f>
        <v>-35100</v>
      </c>
      <c r="N8" s="44">
        <f t="shared" si="0"/>
        <v>106604600</v>
      </c>
      <c r="O8" s="51">
        <f t="shared" si="1"/>
        <v>2869200</v>
      </c>
      <c r="P8" s="24">
        <f t="shared" si="2"/>
        <v>2.7649476488982971E-2</v>
      </c>
    </row>
    <row r="9" spans="1:16" x14ac:dyDescent="0.35">
      <c r="A9" s="3" t="s">
        <v>28</v>
      </c>
      <c r="B9" s="27">
        <v>145221700</v>
      </c>
      <c r="C9" s="165">
        <v>-1207900</v>
      </c>
      <c r="D9" s="27">
        <f t="shared" si="3"/>
        <v>144013800</v>
      </c>
      <c r="E9" s="165">
        <v>4742500</v>
      </c>
      <c r="F9" s="40">
        <v>1527000</v>
      </c>
      <c r="G9" s="42">
        <v>3215500</v>
      </c>
      <c r="H9" s="43">
        <f>761100+651200</f>
        <v>1412300</v>
      </c>
      <c r="I9" s="43">
        <v>0</v>
      </c>
      <c r="J9" s="44">
        <v>964700</v>
      </c>
      <c r="K9" s="237">
        <v>-49400</v>
      </c>
      <c r="L9" s="40">
        <f t="shared" si="4"/>
        <v>151133300</v>
      </c>
      <c r="M9" s="65">
        <f t="shared" si="5"/>
        <v>-49400</v>
      </c>
      <c r="N9" s="44">
        <f t="shared" si="0"/>
        <v>151083900</v>
      </c>
      <c r="O9" s="51">
        <f t="shared" si="1"/>
        <v>5911600</v>
      </c>
      <c r="P9" s="24">
        <f t="shared" si="2"/>
        <v>4.0707414938676578E-2</v>
      </c>
    </row>
    <row r="10" spans="1:16" x14ac:dyDescent="0.35">
      <c r="A10" s="3" t="s">
        <v>29</v>
      </c>
      <c r="B10" s="27">
        <v>53740700</v>
      </c>
      <c r="C10" s="165">
        <v>-952400</v>
      </c>
      <c r="D10" s="27">
        <f t="shared" si="3"/>
        <v>52788300</v>
      </c>
      <c r="E10" s="165">
        <v>1738400</v>
      </c>
      <c r="F10" s="40">
        <v>559700</v>
      </c>
      <c r="G10" s="42">
        <v>1178700</v>
      </c>
      <c r="H10" s="43">
        <f>334700+293800</f>
        <v>628500</v>
      </c>
      <c r="I10" s="43">
        <v>0</v>
      </c>
      <c r="J10" s="44">
        <v>-172100</v>
      </c>
      <c r="K10" s="237">
        <v>-26600</v>
      </c>
      <c r="L10" s="40">
        <f t="shared" si="4"/>
        <v>54983100</v>
      </c>
      <c r="M10" s="65">
        <f t="shared" si="5"/>
        <v>-26600</v>
      </c>
      <c r="N10" s="44">
        <f t="shared" si="0"/>
        <v>54956500</v>
      </c>
      <c r="O10" s="51">
        <f t="shared" si="1"/>
        <v>1242400</v>
      </c>
      <c r="P10" s="24">
        <f t="shared" si="2"/>
        <v>2.3118418628711668E-2</v>
      </c>
    </row>
    <row r="11" spans="1:16" x14ac:dyDescent="0.35">
      <c r="A11" s="3" t="s">
        <v>30</v>
      </c>
      <c r="B11" s="27">
        <v>86878900</v>
      </c>
      <c r="C11" s="165">
        <v>-251000</v>
      </c>
      <c r="D11" s="27">
        <f t="shared" si="3"/>
        <v>86627900</v>
      </c>
      <c r="E11" s="165">
        <v>2605700</v>
      </c>
      <c r="F11" s="40">
        <v>839000</v>
      </c>
      <c r="G11" s="42">
        <v>1766700</v>
      </c>
      <c r="H11" s="43">
        <f>413400+349200</f>
        <v>762600</v>
      </c>
      <c r="I11" s="43">
        <v>0</v>
      </c>
      <c r="J11" s="44">
        <v>703100</v>
      </c>
      <c r="K11" s="237">
        <v>-27800</v>
      </c>
      <c r="L11" s="40">
        <f t="shared" si="4"/>
        <v>90699300</v>
      </c>
      <c r="M11" s="65">
        <f t="shared" si="5"/>
        <v>-27800</v>
      </c>
      <c r="N11" s="44">
        <f t="shared" si="0"/>
        <v>90671500</v>
      </c>
      <c r="O11" s="51">
        <f t="shared" si="1"/>
        <v>3820400</v>
      </c>
      <c r="P11" s="24">
        <f t="shared" si="2"/>
        <v>4.3973853260112605E-2</v>
      </c>
    </row>
    <row r="12" spans="1:16" x14ac:dyDescent="0.35">
      <c r="A12" s="6" t="s">
        <v>31</v>
      </c>
      <c r="B12" s="28">
        <v>176657700</v>
      </c>
      <c r="C12" s="166">
        <v>1862900</v>
      </c>
      <c r="D12" s="28">
        <f t="shared" si="3"/>
        <v>178520600</v>
      </c>
      <c r="E12" s="166">
        <v>5878800</v>
      </c>
      <c r="F12" s="41">
        <v>1892900</v>
      </c>
      <c r="G12" s="42">
        <v>3985900</v>
      </c>
      <c r="H12" s="45">
        <f>803600+699600</f>
        <v>1503200</v>
      </c>
      <c r="I12" s="45">
        <v>0</v>
      </c>
      <c r="J12" s="46">
        <v>-260700</v>
      </c>
      <c r="K12" s="238">
        <v>186100</v>
      </c>
      <c r="L12" s="41">
        <f t="shared" si="4"/>
        <v>185641900</v>
      </c>
      <c r="M12" s="70">
        <f>SUM(K12:K12)</f>
        <v>186100</v>
      </c>
      <c r="N12" s="46">
        <f t="shared" si="0"/>
        <v>185828000</v>
      </c>
      <c r="O12" s="71">
        <f t="shared" si="1"/>
        <v>8984200</v>
      </c>
      <c r="P12" s="25">
        <f t="shared" si="2"/>
        <v>5.0856543473621674E-2</v>
      </c>
    </row>
    <row r="13" spans="1:16" x14ac:dyDescent="0.35">
      <c r="A13" s="7" t="s">
        <v>32</v>
      </c>
      <c r="B13" s="29">
        <f t="shared" ref="B13:O13" si="6">SUM(B7:B12)</f>
        <v>642934800</v>
      </c>
      <c r="C13" s="32">
        <f>SUM(C7:C12)</f>
        <v>-2727900</v>
      </c>
      <c r="D13" s="29">
        <f>SUM(D7:D12)</f>
        <v>640206900</v>
      </c>
      <c r="E13" s="32">
        <f>SUM(E7:E12)</f>
        <v>20766300</v>
      </c>
      <c r="F13" s="48">
        <f t="shared" si="6"/>
        <v>6686500</v>
      </c>
      <c r="G13" s="127">
        <f t="shared" si="6"/>
        <v>14079800</v>
      </c>
      <c r="H13" s="47">
        <f>SUM(H7:H12)</f>
        <v>6154100</v>
      </c>
      <c r="I13" s="47">
        <f>SUM(I7:I12)</f>
        <v>0</v>
      </c>
      <c r="J13" s="29">
        <f t="shared" si="6"/>
        <v>743300</v>
      </c>
      <c r="K13" s="68">
        <f t="shared" si="6"/>
        <v>24200</v>
      </c>
      <c r="L13" s="48">
        <f>SUM(L7:L12)</f>
        <v>667870600</v>
      </c>
      <c r="M13" s="47">
        <f t="shared" si="6"/>
        <v>24200</v>
      </c>
      <c r="N13" s="29">
        <f t="shared" si="6"/>
        <v>667894800</v>
      </c>
      <c r="O13" s="48">
        <f t="shared" si="6"/>
        <v>24935800</v>
      </c>
      <c r="P13" s="72">
        <f t="shared" si="2"/>
        <v>3.8784337074303732E-2</v>
      </c>
    </row>
    <row r="14" spans="1:16" x14ac:dyDescent="0.35">
      <c r="A14" s="7"/>
      <c r="B14" s="29"/>
      <c r="C14" s="32"/>
      <c r="D14" s="29"/>
      <c r="E14" s="32"/>
      <c r="F14" s="48"/>
      <c r="G14" s="47"/>
      <c r="H14" s="47"/>
      <c r="I14" s="47"/>
      <c r="J14" s="29"/>
      <c r="K14" s="68"/>
      <c r="L14" s="48"/>
      <c r="M14" s="47"/>
      <c r="N14" s="29"/>
      <c r="O14" s="48"/>
      <c r="P14" s="72"/>
    </row>
    <row r="15" spans="1:16" x14ac:dyDescent="0.35">
      <c r="A15" s="5" t="s">
        <v>33</v>
      </c>
      <c r="B15" s="30"/>
      <c r="C15" s="11"/>
      <c r="D15" s="30"/>
      <c r="E15" s="11"/>
      <c r="F15" s="12"/>
      <c r="G15" s="66"/>
      <c r="H15" s="66"/>
      <c r="I15" s="66"/>
      <c r="J15" s="30"/>
      <c r="K15" s="239"/>
      <c r="L15" s="12"/>
      <c r="M15" s="66"/>
      <c r="N15" s="30"/>
      <c r="O15" s="12"/>
      <c r="P15" s="24"/>
    </row>
    <row r="16" spans="1:16" x14ac:dyDescent="0.35">
      <c r="A16" s="3" t="s">
        <v>34</v>
      </c>
      <c r="B16" s="26">
        <v>82617100</v>
      </c>
      <c r="C16" s="74">
        <v>-1110900</v>
      </c>
      <c r="D16" s="26">
        <f>SUM(B16:C16)</f>
        <v>81506200</v>
      </c>
      <c r="E16" s="74">
        <v>2684100</v>
      </c>
      <c r="F16" s="39">
        <v>864200</v>
      </c>
      <c r="G16" s="42">
        <v>1819900</v>
      </c>
      <c r="H16" s="42">
        <f>478300+406200</f>
        <v>884500</v>
      </c>
      <c r="I16" s="42">
        <v>0</v>
      </c>
      <c r="J16" s="26">
        <v>-354200</v>
      </c>
      <c r="K16" s="235">
        <v>-36200</v>
      </c>
      <c r="L16" s="39">
        <f t="shared" ref="L16" si="7">SUM(D16,F16:J16)</f>
        <v>84720600</v>
      </c>
      <c r="M16" s="42">
        <f t="shared" ref="M16:M18" si="8">SUM(K16:K16)</f>
        <v>-36200</v>
      </c>
      <c r="N16" s="26">
        <f>L16+M16</f>
        <v>84684400</v>
      </c>
      <c r="O16" s="39">
        <f>L16-B16</f>
        <v>2103500</v>
      </c>
      <c r="P16" s="24">
        <f>L16/B16-1</f>
        <v>2.5460830748113894E-2</v>
      </c>
    </row>
    <row r="17" spans="1:16" x14ac:dyDescent="0.35">
      <c r="A17" s="3" t="s">
        <v>35</v>
      </c>
      <c r="B17" s="27">
        <v>358013900</v>
      </c>
      <c r="C17" s="165">
        <v>6292700</v>
      </c>
      <c r="D17" s="27">
        <f>SUM(B17:C17)</f>
        <v>364306600</v>
      </c>
      <c r="E17" s="165">
        <v>11767400</v>
      </c>
      <c r="F17" s="40">
        <v>3789000</v>
      </c>
      <c r="G17" s="43">
        <v>7978400</v>
      </c>
      <c r="H17" s="43">
        <f>1724600+1407100</f>
        <v>3131700</v>
      </c>
      <c r="I17" s="43">
        <v>0</v>
      </c>
      <c r="J17" s="44">
        <v>-1061800</v>
      </c>
      <c r="K17" s="237">
        <v>-128100</v>
      </c>
      <c r="L17" s="40">
        <f>SUM(D17,F17:J17)</f>
        <v>378143900</v>
      </c>
      <c r="M17" s="65">
        <f t="shared" si="8"/>
        <v>-128100</v>
      </c>
      <c r="N17" s="44">
        <f>L17+M17</f>
        <v>378015800</v>
      </c>
      <c r="O17" s="51">
        <f>L17-B17</f>
        <v>20130000</v>
      </c>
      <c r="P17" s="24">
        <f>L17/B17-1</f>
        <v>5.6226867169123951E-2</v>
      </c>
    </row>
    <row r="18" spans="1:16" x14ac:dyDescent="0.35">
      <c r="A18" s="6" t="s">
        <v>36</v>
      </c>
      <c r="B18" s="28">
        <v>48149800</v>
      </c>
      <c r="C18" s="166">
        <v>-528100</v>
      </c>
      <c r="D18" s="28">
        <f>SUM(B18:C18)</f>
        <v>47621700</v>
      </c>
      <c r="E18" s="166">
        <v>1547100</v>
      </c>
      <c r="F18" s="41">
        <v>498200</v>
      </c>
      <c r="G18" s="45">
        <v>1048900</v>
      </c>
      <c r="H18" s="45">
        <f>276700+237300</f>
        <v>514000</v>
      </c>
      <c r="I18" s="45">
        <v>0</v>
      </c>
      <c r="J18" s="46">
        <v>-202800</v>
      </c>
      <c r="K18" s="238">
        <v>-17500</v>
      </c>
      <c r="L18" s="41">
        <f t="shared" ref="L18" si="9">SUM(D18,F18:J18)</f>
        <v>49480000</v>
      </c>
      <c r="M18" s="70">
        <f t="shared" si="8"/>
        <v>-17500</v>
      </c>
      <c r="N18" s="46">
        <f>L18+M18</f>
        <v>49462500</v>
      </c>
      <c r="O18" s="71">
        <f>L18-B18</f>
        <v>1330200</v>
      </c>
      <c r="P18" s="25">
        <f>L18/B18-1</f>
        <v>2.7626282975214744E-2</v>
      </c>
    </row>
    <row r="19" spans="1:16" x14ac:dyDescent="0.35">
      <c r="A19" s="7" t="s">
        <v>32</v>
      </c>
      <c r="B19" s="29">
        <f t="shared" ref="B19:O19" si="10">SUM(B16:B18)</f>
        <v>488780800</v>
      </c>
      <c r="C19" s="32">
        <f>SUM(C16:C18)</f>
        <v>4653700</v>
      </c>
      <c r="D19" s="29">
        <f>SUM(D16:D18)</f>
        <v>493434500</v>
      </c>
      <c r="E19" s="32">
        <f>SUM(E16:E18)</f>
        <v>15998600</v>
      </c>
      <c r="F19" s="48">
        <f t="shared" si="10"/>
        <v>5151400</v>
      </c>
      <c r="G19" s="47">
        <f t="shared" si="10"/>
        <v>10847200</v>
      </c>
      <c r="H19" s="47">
        <f t="shared" si="10"/>
        <v>4530200</v>
      </c>
      <c r="I19" s="47">
        <f>SUM(I16:I18)</f>
        <v>0</v>
      </c>
      <c r="J19" s="29">
        <f t="shared" si="10"/>
        <v>-1618800</v>
      </c>
      <c r="K19" s="68">
        <f t="shared" si="10"/>
        <v>-181800</v>
      </c>
      <c r="L19" s="48">
        <f>SUM(L16:L18)</f>
        <v>512344500</v>
      </c>
      <c r="M19" s="47">
        <f t="shared" si="10"/>
        <v>-181800</v>
      </c>
      <c r="N19" s="29">
        <f t="shared" si="10"/>
        <v>512162700</v>
      </c>
      <c r="O19" s="48">
        <f t="shared" si="10"/>
        <v>23563700</v>
      </c>
      <c r="P19" s="72">
        <f>L19/B19-1</f>
        <v>4.8209135874404341E-2</v>
      </c>
    </row>
    <row r="20" spans="1:16" x14ac:dyDescent="0.35">
      <c r="A20" s="8"/>
      <c r="B20" s="30"/>
      <c r="C20" s="11"/>
      <c r="D20" s="30"/>
      <c r="E20" s="11"/>
      <c r="F20" s="12"/>
      <c r="G20" s="66"/>
      <c r="H20" s="66"/>
      <c r="I20" s="66"/>
      <c r="J20" s="30"/>
      <c r="K20" s="239"/>
      <c r="L20" s="12"/>
      <c r="M20" s="66"/>
      <c r="N20" s="30"/>
      <c r="O20" s="12"/>
      <c r="P20" s="24"/>
    </row>
    <row r="21" spans="1:16" x14ac:dyDescent="0.35">
      <c r="A21" s="5" t="s">
        <v>37</v>
      </c>
      <c r="B21" s="29">
        <v>390142900</v>
      </c>
      <c r="C21" s="32">
        <v>-1925800</v>
      </c>
      <c r="D21" s="29">
        <f>SUM(B21:C21)</f>
        <v>388217100</v>
      </c>
      <c r="E21" s="32">
        <v>12784200</v>
      </c>
      <c r="F21" s="48">
        <v>4116400</v>
      </c>
      <c r="G21" s="47">
        <v>8667800</v>
      </c>
      <c r="H21" s="47">
        <f>1562100+1341800</f>
        <v>2903900</v>
      </c>
      <c r="I21" s="47">
        <v>0</v>
      </c>
      <c r="J21" s="29">
        <v>994500</v>
      </c>
      <c r="K21" s="68">
        <v>3974300</v>
      </c>
      <c r="L21" s="48">
        <f>SUM(D21,F21:J21)</f>
        <v>404899700</v>
      </c>
      <c r="M21" s="47">
        <f>SUM(K21:K21)</f>
        <v>3974300</v>
      </c>
      <c r="N21" s="29">
        <f>L21+M21</f>
        <v>408874000</v>
      </c>
      <c r="O21" s="48">
        <f>L21-B21</f>
        <v>14756800</v>
      </c>
      <c r="P21" s="72">
        <f>L21/B21-1</f>
        <v>3.7824089583585963E-2</v>
      </c>
    </row>
    <row r="22" spans="1:16" x14ac:dyDescent="0.35">
      <c r="A22" s="7"/>
      <c r="B22" s="29"/>
      <c r="C22" s="32"/>
      <c r="D22" s="29"/>
      <c r="E22" s="32"/>
      <c r="F22" s="48"/>
      <c r="G22" s="47"/>
      <c r="H22" s="47"/>
      <c r="I22" s="47"/>
      <c r="J22" s="29"/>
      <c r="K22" s="68"/>
      <c r="L22" s="48"/>
      <c r="M22" s="47"/>
      <c r="N22" s="29"/>
      <c r="O22" s="48"/>
      <c r="P22" s="72"/>
    </row>
    <row r="23" spans="1:16" x14ac:dyDescent="0.35">
      <c r="A23" s="9" t="s">
        <v>38</v>
      </c>
      <c r="B23" s="29">
        <f t="shared" ref="B23:N23" si="11">B19+B21+B13</f>
        <v>1521858500</v>
      </c>
      <c r="C23" s="32">
        <f>C19+C21+C13</f>
        <v>0</v>
      </c>
      <c r="D23" s="29">
        <f>D19+D21+D13</f>
        <v>1521858500</v>
      </c>
      <c r="E23" s="32">
        <f t="shared" si="11"/>
        <v>49549100</v>
      </c>
      <c r="F23" s="48">
        <f t="shared" si="11"/>
        <v>15954300</v>
      </c>
      <c r="G23" s="47">
        <f t="shared" si="11"/>
        <v>33594800</v>
      </c>
      <c r="H23" s="47">
        <f t="shared" si="11"/>
        <v>13588200</v>
      </c>
      <c r="I23" s="47">
        <f>I19+I21+I13</f>
        <v>0</v>
      </c>
      <c r="J23" s="29">
        <f t="shared" si="11"/>
        <v>119000</v>
      </c>
      <c r="K23" s="68">
        <f>K19+K21+K13</f>
        <v>3816700</v>
      </c>
      <c r="L23" s="48">
        <f>L19+L21+L13</f>
        <v>1585114800</v>
      </c>
      <c r="M23" s="47">
        <f>M19+M21+M13</f>
        <v>3816700</v>
      </c>
      <c r="N23" s="29">
        <f t="shared" si="11"/>
        <v>1588931500</v>
      </c>
      <c r="O23" s="48">
        <f>O19+O21+O13</f>
        <v>63256300</v>
      </c>
      <c r="P23" s="72">
        <f>L23/B23-1</f>
        <v>4.1565165223967915E-2</v>
      </c>
    </row>
    <row r="24" spans="1:16" x14ac:dyDescent="0.35">
      <c r="A24" s="3"/>
      <c r="B24" s="30"/>
      <c r="C24" s="11"/>
      <c r="D24" s="30"/>
      <c r="E24" s="11"/>
      <c r="F24" s="12"/>
      <c r="G24" s="66"/>
      <c r="H24" s="66"/>
      <c r="I24" s="66"/>
      <c r="J24" s="30"/>
      <c r="K24" s="239"/>
      <c r="L24" s="12"/>
      <c r="M24" s="66"/>
      <c r="N24" s="30"/>
      <c r="O24" s="12"/>
      <c r="P24" s="24"/>
    </row>
    <row r="25" spans="1:16" x14ac:dyDescent="0.35">
      <c r="A25" s="5" t="s">
        <v>39</v>
      </c>
      <c r="B25" s="29">
        <v>119478000</v>
      </c>
      <c r="C25" s="32">
        <v>0</v>
      </c>
      <c r="D25" s="29">
        <f>SUM(B25:C25)</f>
        <v>119478000</v>
      </c>
      <c r="E25" s="32">
        <v>3293800</v>
      </c>
      <c r="F25" s="48">
        <v>1060600</v>
      </c>
      <c r="G25" s="47">
        <v>2233200</v>
      </c>
      <c r="H25" s="47">
        <f>426200+389600</f>
        <v>815800</v>
      </c>
      <c r="I25" s="47">
        <v>0</v>
      </c>
      <c r="J25" s="29">
        <v>61600</v>
      </c>
      <c r="K25" s="29">
        <v>-53900</v>
      </c>
      <c r="L25" s="48">
        <f>SUM(D25,F25:J25)</f>
        <v>123649200</v>
      </c>
      <c r="M25" s="47">
        <f>SUM(K25:K25)</f>
        <v>-53900</v>
      </c>
      <c r="N25" s="29">
        <f>L25+M25</f>
        <v>123595300</v>
      </c>
      <c r="O25" s="48">
        <f>L25-B25</f>
        <v>4171200</v>
      </c>
      <c r="P25" s="72">
        <f>L25/B25-1</f>
        <v>3.4911866619796061E-2</v>
      </c>
    </row>
    <row r="26" spans="1:16" x14ac:dyDescent="0.35">
      <c r="A26" s="3"/>
      <c r="B26" s="30"/>
      <c r="C26" s="11"/>
      <c r="D26" s="30"/>
      <c r="E26" s="11"/>
      <c r="F26" s="12"/>
      <c r="G26" s="66"/>
      <c r="H26" s="66"/>
      <c r="I26" s="66"/>
      <c r="J26" s="30"/>
      <c r="K26" s="239"/>
      <c r="L26" s="12"/>
      <c r="M26" s="66"/>
      <c r="N26" s="30"/>
      <c r="O26" s="12"/>
      <c r="P26" s="24"/>
    </row>
    <row r="27" spans="1:16" ht="18.75" thickBot="1" x14ac:dyDescent="0.4">
      <c r="A27" s="10" t="s">
        <v>40</v>
      </c>
      <c r="B27" s="31">
        <f t="shared" ref="B27:J27" si="12">B23+B25</f>
        <v>1641336500</v>
      </c>
      <c r="C27" s="35">
        <f t="shared" si="12"/>
        <v>0</v>
      </c>
      <c r="D27" s="31">
        <f>D23+D25</f>
        <v>1641336500</v>
      </c>
      <c r="E27" s="35">
        <f t="shared" si="12"/>
        <v>52842900</v>
      </c>
      <c r="F27" s="52">
        <f t="shared" si="12"/>
        <v>17014900</v>
      </c>
      <c r="G27" s="67">
        <f t="shared" si="12"/>
        <v>35828000</v>
      </c>
      <c r="H27" s="67">
        <f>H23+H25</f>
        <v>14404000</v>
      </c>
      <c r="I27" s="67">
        <f>I23+I25</f>
        <v>0</v>
      </c>
      <c r="J27" s="31">
        <f t="shared" si="12"/>
        <v>180600</v>
      </c>
      <c r="K27" s="69">
        <f>K23+K25</f>
        <v>3762800</v>
      </c>
      <c r="L27" s="52">
        <f>L23+L25</f>
        <v>1708764000</v>
      </c>
      <c r="M27" s="67">
        <f>M23+M25</f>
        <v>3762800</v>
      </c>
      <c r="N27" s="31">
        <f>N23+N25</f>
        <v>1712526800</v>
      </c>
      <c r="O27" s="52">
        <f>O23+O25</f>
        <v>67427500</v>
      </c>
      <c r="P27" s="73">
        <f>L27/B27-1</f>
        <v>4.1080850879755548E-2</v>
      </c>
    </row>
    <row r="28" spans="1:16" x14ac:dyDescent="0.35">
      <c r="A28" s="1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40"/>
    </row>
    <row r="29" spans="1:16" x14ac:dyDescent="0.35">
      <c r="A29" s="11"/>
      <c r="B29" s="11"/>
      <c r="C29" s="11"/>
      <c r="D29" s="11"/>
      <c r="E29" s="11"/>
      <c r="F29" s="74"/>
      <c r="G29" s="11"/>
      <c r="H29" s="74"/>
      <c r="I29" s="11"/>
      <c r="J29" s="11"/>
      <c r="K29" s="11"/>
      <c r="L29" s="11"/>
      <c r="M29" s="11"/>
      <c r="N29" s="11"/>
      <c r="O29" s="11"/>
      <c r="P29" s="11"/>
    </row>
    <row r="30" spans="1:16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4">
    <mergeCell ref="A1:P1"/>
    <mergeCell ref="C3:D3"/>
    <mergeCell ref="L3:N3"/>
    <mergeCell ref="E3:J3"/>
  </mergeCells>
  <phoneticPr fontId="20" type="noConversion"/>
  <printOptions horizontalCentered="1"/>
  <pageMargins left="0.25" right="0.25" top="0.75" bottom="0.75" header="0.3" footer="0.3"/>
  <pageSetup paperSize="17" scale="75" orientation="landscape" r:id="rId1"/>
  <headerFooter alignWithMargins="0"/>
  <ignoredErrors>
    <ignoredError sqref="L22 L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P99"/>
  <sheetViews>
    <sheetView view="pageBreakPreview" zoomScaleNormal="75" zoomScaleSheetLayoutView="100" workbookViewId="0">
      <selection sqref="A1:O1"/>
    </sheetView>
  </sheetViews>
  <sheetFormatPr defaultColWidth="9.140625" defaultRowHeight="18" x14ac:dyDescent="0.35"/>
  <cols>
    <col min="1" max="1" width="70.140625" style="1" bestFit="1" customWidth="1"/>
    <col min="2" max="2" width="22.140625" style="1" bestFit="1" customWidth="1"/>
    <col min="3" max="3" width="17.42578125" style="1" bestFit="1" customWidth="1"/>
    <col min="4" max="4" width="19.7109375" style="1" bestFit="1" customWidth="1"/>
    <col min="5" max="6" width="18.140625" style="1" bestFit="1" customWidth="1"/>
    <col min="7" max="7" width="16.7109375" style="1" bestFit="1" customWidth="1"/>
    <col min="8" max="8" width="16.42578125" style="1" hidden="1" customWidth="1"/>
    <col min="9" max="9" width="17" style="1" customWidth="1"/>
    <col min="10" max="10" width="18.42578125" style="1" bestFit="1" customWidth="1"/>
    <col min="11" max="11" width="21.85546875" style="1" bestFit="1" customWidth="1"/>
    <col min="12" max="12" width="18.42578125" style="1" bestFit="1" customWidth="1"/>
    <col min="13" max="13" width="22.140625" style="1" bestFit="1" customWidth="1"/>
    <col min="14" max="14" width="18.42578125" style="1" bestFit="1" customWidth="1"/>
    <col min="15" max="15" width="16.7109375" style="1" bestFit="1" customWidth="1"/>
    <col min="16" max="16" width="22.7109375" style="1" bestFit="1" customWidth="1"/>
    <col min="17" max="19" width="9.140625" style="1"/>
    <col min="20" max="20" width="36.42578125" style="1" bestFit="1" customWidth="1"/>
    <col min="21" max="16384" width="9.140625" style="1"/>
  </cols>
  <sheetData>
    <row r="1" spans="1:16" ht="22.5" x14ac:dyDescent="0.4">
      <c r="A1" s="274" t="str">
        <f>'2025-26 Form Distr'!A1:P1</f>
        <v>2025-26 Legislative Action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6" ht="18.75" thickBot="1" x14ac:dyDescent="0.4">
      <c r="G2" s="22"/>
    </row>
    <row r="3" spans="1:16" x14ac:dyDescent="0.35">
      <c r="A3" s="2"/>
      <c r="B3" s="75" t="s">
        <v>0</v>
      </c>
      <c r="C3" s="275" t="s">
        <v>1</v>
      </c>
      <c r="D3" s="280"/>
      <c r="E3" s="283" t="s">
        <v>2</v>
      </c>
      <c r="F3" s="284"/>
      <c r="G3" s="284"/>
      <c r="H3" s="284"/>
      <c r="I3" s="294"/>
      <c r="J3" s="314" t="s">
        <v>1</v>
      </c>
      <c r="K3" s="281" t="s">
        <v>1</v>
      </c>
      <c r="L3" s="281"/>
      <c r="M3" s="282"/>
      <c r="N3" s="83" t="s">
        <v>3</v>
      </c>
      <c r="O3" s="23"/>
    </row>
    <row r="4" spans="1:16" x14ac:dyDescent="0.35">
      <c r="A4" s="3"/>
      <c r="B4" s="76" t="s">
        <v>4</v>
      </c>
      <c r="C4" s="84" t="s">
        <v>41</v>
      </c>
      <c r="D4" s="186" t="s">
        <v>6</v>
      </c>
      <c r="E4" s="49" t="s">
        <v>8</v>
      </c>
      <c r="F4" s="53" t="s">
        <v>9</v>
      </c>
      <c r="G4" s="53" t="s">
        <v>10</v>
      </c>
      <c r="H4" s="76" t="s">
        <v>42</v>
      </c>
      <c r="I4" s="295" t="s">
        <v>12</v>
      </c>
      <c r="J4" s="315" t="s">
        <v>13</v>
      </c>
      <c r="K4" s="301" t="s">
        <v>4</v>
      </c>
      <c r="L4" s="85" t="s">
        <v>13</v>
      </c>
      <c r="M4" s="85" t="s">
        <v>14</v>
      </c>
      <c r="N4" s="85" t="s">
        <v>4</v>
      </c>
      <c r="O4" s="59" t="s">
        <v>4</v>
      </c>
    </row>
    <row r="5" spans="1:16" x14ac:dyDescent="0.35">
      <c r="A5" s="4" t="s">
        <v>43</v>
      </c>
      <c r="B5" s="77" t="s">
        <v>17</v>
      </c>
      <c r="C5" s="86" t="s">
        <v>44</v>
      </c>
      <c r="D5" s="77" t="s">
        <v>19</v>
      </c>
      <c r="E5" s="50" t="s">
        <v>18</v>
      </c>
      <c r="F5" s="60" t="s">
        <v>21</v>
      </c>
      <c r="G5" s="60" t="s">
        <v>21</v>
      </c>
      <c r="H5" s="77" t="s">
        <v>22</v>
      </c>
      <c r="I5" s="77" t="s">
        <v>4</v>
      </c>
      <c r="J5" s="316" t="s">
        <v>23</v>
      </c>
      <c r="K5" s="302" t="s">
        <v>17</v>
      </c>
      <c r="L5" s="88" t="s">
        <v>17</v>
      </c>
      <c r="M5" s="88" t="s">
        <v>17</v>
      </c>
      <c r="N5" s="88" t="s">
        <v>17</v>
      </c>
      <c r="O5" s="64" t="s">
        <v>45</v>
      </c>
    </row>
    <row r="6" spans="1:16" x14ac:dyDescent="0.35">
      <c r="A6" s="5" t="s">
        <v>46</v>
      </c>
      <c r="B6" s="161"/>
      <c r="C6" s="241"/>
      <c r="D6" s="187"/>
      <c r="E6" s="230"/>
      <c r="F6" s="231"/>
      <c r="G6" s="231"/>
      <c r="H6" s="161"/>
      <c r="I6" s="187"/>
      <c r="J6" s="317"/>
      <c r="K6" s="303"/>
      <c r="L6" s="113"/>
      <c r="M6" s="113"/>
      <c r="N6" s="113"/>
      <c r="O6" s="124"/>
    </row>
    <row r="7" spans="1:16" x14ac:dyDescent="0.35">
      <c r="A7" s="3" t="s">
        <v>47</v>
      </c>
      <c r="B7" s="161">
        <v>50298000</v>
      </c>
      <c r="C7" s="241">
        <v>0</v>
      </c>
      <c r="D7" s="161">
        <f>SUM(B7:C7)</f>
        <v>50298000</v>
      </c>
      <c r="E7" s="241">
        <v>245000</v>
      </c>
      <c r="F7" s="42">
        <v>1711000</v>
      </c>
      <c r="G7" s="42">
        <f>119900+107400</f>
        <v>227300</v>
      </c>
      <c r="H7" s="161">
        <v>0</v>
      </c>
      <c r="I7" s="161">
        <v>14127200</v>
      </c>
      <c r="J7" s="318">
        <v>2964000</v>
      </c>
      <c r="K7" s="304">
        <f>SUM(D7,E7:I7)</f>
        <v>66608500</v>
      </c>
      <c r="L7" s="42">
        <f>SUM(J7:J7)</f>
        <v>2964000</v>
      </c>
      <c r="M7" s="42">
        <f>K7+L7</f>
        <v>69572500</v>
      </c>
      <c r="N7" s="42">
        <f>K7-B7</f>
        <v>16310500</v>
      </c>
      <c r="O7" s="90">
        <f t="shared" ref="O7:O12" si="0">(K7-B7)/B7</f>
        <v>0.32427730724879716</v>
      </c>
      <c r="P7" s="242"/>
    </row>
    <row r="8" spans="1:16" x14ac:dyDescent="0.35">
      <c r="A8" s="3" t="s">
        <v>48</v>
      </c>
      <c r="B8" s="161">
        <v>10788300</v>
      </c>
      <c r="C8" s="243">
        <v>0</v>
      </c>
      <c r="D8" s="188">
        <f t="shared" ref="D8:D9" si="1">SUM(B8:C8)</f>
        <v>10788300</v>
      </c>
      <c r="E8" s="243">
        <v>27000</v>
      </c>
      <c r="F8" s="89">
        <v>454900</v>
      </c>
      <c r="G8" s="89">
        <f>44400+36400</f>
        <v>80800</v>
      </c>
      <c r="H8" s="188">
        <v>0</v>
      </c>
      <c r="I8" s="188">
        <v>-11348100</v>
      </c>
      <c r="J8" s="319">
        <v>-2900</v>
      </c>
      <c r="K8" s="305">
        <f>SUM(D8,E8:I8)</f>
        <v>2900</v>
      </c>
      <c r="L8" s="89">
        <f>SUM(J8:J8)</f>
        <v>-2900</v>
      </c>
      <c r="M8" s="89">
        <f t="shared" ref="M8" si="2">K8+L8</f>
        <v>0</v>
      </c>
      <c r="N8" s="89">
        <f>K8-B8</f>
        <v>-10785400</v>
      </c>
      <c r="O8" s="90">
        <f t="shared" si="0"/>
        <v>-0.99973119027094171</v>
      </c>
      <c r="P8" s="244"/>
    </row>
    <row r="9" spans="1:16" x14ac:dyDescent="0.35">
      <c r="A9" s="3" t="s">
        <v>49</v>
      </c>
      <c r="B9" s="161">
        <v>2500000</v>
      </c>
      <c r="C9" s="243">
        <v>0</v>
      </c>
      <c r="D9" s="188">
        <f t="shared" si="1"/>
        <v>2500000</v>
      </c>
      <c r="E9" s="243">
        <v>216600</v>
      </c>
      <c r="F9" s="89">
        <v>163400</v>
      </c>
      <c r="G9" s="89">
        <v>0</v>
      </c>
      <c r="H9" s="188"/>
      <c r="I9" s="188">
        <v>-2880000</v>
      </c>
      <c r="J9" s="319">
        <v>0</v>
      </c>
      <c r="K9" s="305">
        <f>SUM(D9,E9:I9)</f>
        <v>0</v>
      </c>
      <c r="L9" s="89">
        <f t="shared" ref="L9" si="3">SUM(J9:J9)</f>
        <v>0</v>
      </c>
      <c r="M9" s="89">
        <f t="shared" ref="M9" si="4">K9+L9</f>
        <v>0</v>
      </c>
      <c r="N9" s="89">
        <f>K9-B9</f>
        <v>-2500000</v>
      </c>
      <c r="O9" s="90">
        <f t="shared" si="0"/>
        <v>-1</v>
      </c>
      <c r="P9" s="244"/>
    </row>
    <row r="10" spans="1:16" x14ac:dyDescent="0.35">
      <c r="A10" s="12" t="s">
        <v>50</v>
      </c>
      <c r="B10" s="161">
        <v>33999200</v>
      </c>
      <c r="C10" s="243">
        <v>0</v>
      </c>
      <c r="D10" s="188">
        <f>SUM(B10:C10)</f>
        <v>33999200</v>
      </c>
      <c r="E10" s="243">
        <f>164000</f>
        <v>164000</v>
      </c>
      <c r="F10" s="89">
        <v>1275000</v>
      </c>
      <c r="G10" s="89">
        <f>159000+136700</f>
        <v>295700</v>
      </c>
      <c r="H10" s="188">
        <v>0</v>
      </c>
      <c r="I10" s="188">
        <v>-127500</v>
      </c>
      <c r="J10" s="319">
        <v>2489300</v>
      </c>
      <c r="K10" s="305">
        <f>SUM(D10,E10:I10)</f>
        <v>35606400</v>
      </c>
      <c r="L10" s="89">
        <f>SUM(J10:J10)</f>
        <v>2489300</v>
      </c>
      <c r="M10" s="89">
        <f>K10+L10</f>
        <v>38095700</v>
      </c>
      <c r="N10" s="89">
        <f>K10-B10</f>
        <v>1607200</v>
      </c>
      <c r="O10" s="90">
        <f t="shared" si="0"/>
        <v>4.7271700510600249E-2</v>
      </c>
      <c r="P10" s="244"/>
    </row>
    <row r="11" spans="1:16" x14ac:dyDescent="0.35">
      <c r="A11" s="4" t="s">
        <v>51</v>
      </c>
      <c r="B11" s="161">
        <v>224081800</v>
      </c>
      <c r="C11" s="243">
        <v>0</v>
      </c>
      <c r="D11" s="188">
        <f>SUM(B11:C11)</f>
        <v>224081800</v>
      </c>
      <c r="E11" s="243">
        <f>950000</f>
        <v>950000</v>
      </c>
      <c r="F11" s="89">
        <v>6195500</v>
      </c>
      <c r="G11" s="89">
        <f>1012300+885300</f>
        <v>1897600</v>
      </c>
      <c r="H11" s="188">
        <v>0</v>
      </c>
      <c r="I11" s="188">
        <v>-784300</v>
      </c>
      <c r="J11" s="319">
        <v>7586600</v>
      </c>
      <c r="K11" s="305">
        <f>SUM(D11,E11:I11)</f>
        <v>232340600</v>
      </c>
      <c r="L11" s="89">
        <f t="shared" ref="L11" si="5">SUM(J11:J11)</f>
        <v>7586600</v>
      </c>
      <c r="M11" s="89">
        <f>K11+L11</f>
        <v>239927200</v>
      </c>
      <c r="N11" s="89">
        <f>K11-B11</f>
        <v>8258800</v>
      </c>
      <c r="O11" s="90">
        <f t="shared" si="0"/>
        <v>3.685618376860593E-2</v>
      </c>
      <c r="P11" s="244"/>
    </row>
    <row r="12" spans="1:16" x14ac:dyDescent="0.35">
      <c r="A12" s="7" t="s">
        <v>32</v>
      </c>
      <c r="B12" s="78">
        <f t="shared" ref="B12:L12" si="6">SUM(B7:B11)</f>
        <v>321667300</v>
      </c>
      <c r="C12" s="97">
        <f t="shared" si="6"/>
        <v>0</v>
      </c>
      <c r="D12" s="78">
        <f t="shared" si="6"/>
        <v>321667300</v>
      </c>
      <c r="E12" s="97">
        <f t="shared" si="6"/>
        <v>1602600</v>
      </c>
      <c r="F12" s="98">
        <f>SUM(F7:F11)</f>
        <v>9799800</v>
      </c>
      <c r="G12" s="98">
        <f>SUM(G7:G11)</f>
        <v>2501400</v>
      </c>
      <c r="H12" s="78">
        <f t="shared" si="6"/>
        <v>0</v>
      </c>
      <c r="I12" s="78">
        <f t="shared" si="6"/>
        <v>-1012700</v>
      </c>
      <c r="J12" s="320">
        <f t="shared" si="6"/>
        <v>13037000</v>
      </c>
      <c r="K12" s="306">
        <f t="shared" si="6"/>
        <v>334558400</v>
      </c>
      <c r="L12" s="98">
        <f t="shared" si="6"/>
        <v>13037000</v>
      </c>
      <c r="M12" s="98">
        <f>SUM(M7:M11)</f>
        <v>347595400</v>
      </c>
      <c r="N12" s="98">
        <f>SUM(N7:N11)</f>
        <v>12891100</v>
      </c>
      <c r="O12" s="99">
        <f t="shared" si="0"/>
        <v>4.0075879643345781E-2</v>
      </c>
      <c r="P12" s="244"/>
    </row>
    <row r="13" spans="1:16" x14ac:dyDescent="0.35">
      <c r="A13" s="7"/>
      <c r="B13" s="189"/>
      <c r="C13" s="3"/>
      <c r="D13" s="189"/>
      <c r="E13" s="3"/>
      <c r="F13" s="66"/>
      <c r="G13" s="66"/>
      <c r="H13" s="189"/>
      <c r="I13" s="189"/>
      <c r="J13" s="321"/>
      <c r="K13" s="307"/>
      <c r="L13" s="66"/>
      <c r="M13" s="66"/>
      <c r="N13" s="66"/>
      <c r="O13" s="90"/>
      <c r="P13" s="244"/>
    </row>
    <row r="14" spans="1:16" x14ac:dyDescent="0.35">
      <c r="A14" s="5" t="s">
        <v>52</v>
      </c>
      <c r="B14" s="161"/>
      <c r="C14" s="241"/>
      <c r="D14" s="161"/>
      <c r="E14" s="241"/>
      <c r="F14" s="42"/>
      <c r="G14" s="42"/>
      <c r="H14" s="161"/>
      <c r="I14" s="161"/>
      <c r="J14" s="318"/>
      <c r="K14" s="304"/>
      <c r="L14" s="42"/>
      <c r="M14" s="42"/>
      <c r="N14" s="42"/>
      <c r="O14" s="90"/>
      <c r="P14" s="244"/>
    </row>
    <row r="15" spans="1:16" x14ac:dyDescent="0.35">
      <c r="A15" s="3" t="s">
        <v>53</v>
      </c>
      <c r="B15" s="161">
        <v>37121500</v>
      </c>
      <c r="C15" s="241">
        <v>0</v>
      </c>
      <c r="D15" s="161">
        <f t="shared" ref="D15:D26" si="7">SUM(B15:C15)</f>
        <v>37121500</v>
      </c>
      <c r="E15" s="241">
        <v>0</v>
      </c>
      <c r="F15" s="42">
        <v>908800</v>
      </c>
      <c r="G15" s="42">
        <f>159300+138500</f>
        <v>297800</v>
      </c>
      <c r="H15" s="161">
        <v>0</v>
      </c>
      <c r="I15" s="161">
        <v>-95800</v>
      </c>
      <c r="J15" s="318">
        <v>-29900</v>
      </c>
      <c r="K15" s="304">
        <f t="shared" ref="K15:K21" si="8">SUM(D15,E15:I15)</f>
        <v>38232300</v>
      </c>
      <c r="L15" s="42">
        <f t="shared" ref="L15:L26" si="9">SUM(J15:J15)</f>
        <v>-29900</v>
      </c>
      <c r="M15" s="42">
        <f t="shared" ref="M15:M26" si="10">K15+L15</f>
        <v>38202400</v>
      </c>
      <c r="N15" s="42">
        <f t="shared" ref="N15:N21" si="11">K15-B15</f>
        <v>1110800</v>
      </c>
      <c r="O15" s="90">
        <f t="shared" ref="O15:O27" si="12">(K15-B15)/B15</f>
        <v>2.9923359778026209E-2</v>
      </c>
      <c r="P15" s="244"/>
    </row>
    <row r="16" spans="1:16" x14ac:dyDescent="0.35">
      <c r="A16" s="3" t="s">
        <v>54</v>
      </c>
      <c r="B16" s="161">
        <v>49228300</v>
      </c>
      <c r="C16" s="243">
        <v>0</v>
      </c>
      <c r="D16" s="188">
        <f t="shared" si="7"/>
        <v>49228300</v>
      </c>
      <c r="E16" s="243">
        <v>0</v>
      </c>
      <c r="F16" s="89">
        <v>1370200</v>
      </c>
      <c r="G16" s="89">
        <f>305400+257200</f>
        <v>562600</v>
      </c>
      <c r="H16" s="188">
        <v>0</v>
      </c>
      <c r="I16" s="188">
        <v>-227600</v>
      </c>
      <c r="J16" s="319">
        <v>-28200</v>
      </c>
      <c r="K16" s="305">
        <f t="shared" si="8"/>
        <v>50933500</v>
      </c>
      <c r="L16" s="89">
        <f t="shared" si="9"/>
        <v>-28200</v>
      </c>
      <c r="M16" s="89">
        <f t="shared" si="10"/>
        <v>50905300</v>
      </c>
      <c r="N16" s="89">
        <f t="shared" si="11"/>
        <v>1705200</v>
      </c>
      <c r="O16" s="90">
        <f t="shared" si="12"/>
        <v>3.4638612342900325E-2</v>
      </c>
      <c r="P16" s="244"/>
    </row>
    <row r="17" spans="1:16" x14ac:dyDescent="0.35">
      <c r="A17" s="3" t="s">
        <v>55</v>
      </c>
      <c r="B17" s="161">
        <v>1572700</v>
      </c>
      <c r="C17" s="243">
        <v>0</v>
      </c>
      <c r="D17" s="188">
        <f t="shared" si="7"/>
        <v>1572700</v>
      </c>
      <c r="E17" s="243">
        <v>0</v>
      </c>
      <c r="F17" s="89">
        <v>23200</v>
      </c>
      <c r="G17" s="89">
        <v>0</v>
      </c>
      <c r="H17" s="188">
        <v>0</v>
      </c>
      <c r="I17" s="188">
        <v>-100</v>
      </c>
      <c r="J17" s="319">
        <v>0</v>
      </c>
      <c r="K17" s="305">
        <f t="shared" si="8"/>
        <v>1595800</v>
      </c>
      <c r="L17" s="89">
        <f t="shared" si="9"/>
        <v>0</v>
      </c>
      <c r="M17" s="89">
        <f t="shared" si="10"/>
        <v>1595800</v>
      </c>
      <c r="N17" s="89">
        <f t="shared" si="11"/>
        <v>23100</v>
      </c>
      <c r="O17" s="90">
        <f t="shared" si="12"/>
        <v>1.4688115978889808E-2</v>
      </c>
      <c r="P17" s="244"/>
    </row>
    <row r="18" spans="1:16" x14ac:dyDescent="0.35">
      <c r="A18" s="3" t="s">
        <v>56</v>
      </c>
      <c r="B18" s="161">
        <v>6009400</v>
      </c>
      <c r="C18" s="243">
        <v>0</v>
      </c>
      <c r="D18" s="188">
        <f t="shared" si="7"/>
        <v>6009400</v>
      </c>
      <c r="E18" s="243">
        <v>0</v>
      </c>
      <c r="F18" s="89">
        <v>10500</v>
      </c>
      <c r="G18" s="89">
        <v>0</v>
      </c>
      <c r="H18" s="188">
        <v>0</v>
      </c>
      <c r="I18" s="188">
        <v>-500</v>
      </c>
      <c r="J18" s="319">
        <v>-300</v>
      </c>
      <c r="K18" s="305">
        <f t="shared" si="8"/>
        <v>6019400</v>
      </c>
      <c r="L18" s="89">
        <f t="shared" si="9"/>
        <v>-300</v>
      </c>
      <c r="M18" s="89">
        <f t="shared" si="10"/>
        <v>6019100</v>
      </c>
      <c r="N18" s="89">
        <f t="shared" si="11"/>
        <v>10000</v>
      </c>
      <c r="O18" s="90">
        <f t="shared" si="12"/>
        <v>1.664059639897494E-3</v>
      </c>
      <c r="P18" s="244"/>
    </row>
    <row r="19" spans="1:16" x14ac:dyDescent="0.35">
      <c r="A19" s="3" t="s">
        <v>57</v>
      </c>
      <c r="B19" s="161">
        <v>6196700</v>
      </c>
      <c r="C19" s="243">
        <v>0</v>
      </c>
      <c r="D19" s="188">
        <f t="shared" si="7"/>
        <v>6196700</v>
      </c>
      <c r="E19" s="243">
        <v>0</v>
      </c>
      <c r="F19" s="89">
        <v>46000</v>
      </c>
      <c r="G19" s="89">
        <v>0</v>
      </c>
      <c r="H19" s="188">
        <v>0</v>
      </c>
      <c r="I19" s="188">
        <v>-1800</v>
      </c>
      <c r="J19" s="319">
        <v>-400</v>
      </c>
      <c r="K19" s="305">
        <f t="shared" si="8"/>
        <v>6240900</v>
      </c>
      <c r="L19" s="89">
        <f t="shared" si="9"/>
        <v>-400</v>
      </c>
      <c r="M19" s="89">
        <f t="shared" si="10"/>
        <v>6240500</v>
      </c>
      <c r="N19" s="89">
        <f t="shared" si="11"/>
        <v>44200</v>
      </c>
      <c r="O19" s="90">
        <f t="shared" si="12"/>
        <v>7.1328287636968062E-3</v>
      </c>
      <c r="P19" s="244"/>
    </row>
    <row r="20" spans="1:16" x14ac:dyDescent="0.35">
      <c r="A20" s="3" t="s">
        <v>58</v>
      </c>
      <c r="B20" s="161">
        <v>228400</v>
      </c>
      <c r="C20" s="243">
        <v>0</v>
      </c>
      <c r="D20" s="188">
        <f t="shared" si="7"/>
        <v>228400</v>
      </c>
      <c r="E20" s="243">
        <v>0</v>
      </c>
      <c r="F20" s="89">
        <v>4700</v>
      </c>
      <c r="G20" s="89">
        <v>0</v>
      </c>
      <c r="H20" s="188">
        <v>0</v>
      </c>
      <c r="I20" s="296" t="s">
        <v>173</v>
      </c>
      <c r="J20" s="322" t="s">
        <v>173</v>
      </c>
      <c r="K20" s="305">
        <f t="shared" si="8"/>
        <v>233100</v>
      </c>
      <c r="L20" s="89">
        <f t="shared" si="9"/>
        <v>0</v>
      </c>
      <c r="M20" s="89">
        <f t="shared" si="10"/>
        <v>233100</v>
      </c>
      <c r="N20" s="89">
        <f t="shared" si="11"/>
        <v>4700</v>
      </c>
      <c r="O20" s="90">
        <f t="shared" si="12"/>
        <v>2.0577933450087564E-2</v>
      </c>
      <c r="P20" s="244"/>
    </row>
    <row r="21" spans="1:16" x14ac:dyDescent="0.35">
      <c r="A21" s="3" t="s">
        <v>59</v>
      </c>
      <c r="B21" s="161">
        <v>11016800</v>
      </c>
      <c r="C21" s="243">
        <v>0</v>
      </c>
      <c r="D21" s="188">
        <f t="shared" si="7"/>
        <v>11016800</v>
      </c>
      <c r="E21" s="243">
        <v>0</v>
      </c>
      <c r="F21" s="89">
        <v>274500</v>
      </c>
      <c r="G21" s="89">
        <f>22300+22100</f>
        <v>44400</v>
      </c>
      <c r="H21" s="188">
        <v>0</v>
      </c>
      <c r="I21" s="188">
        <v>-20700</v>
      </c>
      <c r="J21" s="319">
        <v>-3700</v>
      </c>
      <c r="K21" s="305">
        <f t="shared" si="8"/>
        <v>11315000</v>
      </c>
      <c r="L21" s="89">
        <f t="shared" si="9"/>
        <v>-3700</v>
      </c>
      <c r="M21" s="89">
        <f t="shared" si="10"/>
        <v>11311300</v>
      </c>
      <c r="N21" s="89">
        <f t="shared" si="11"/>
        <v>298200</v>
      </c>
      <c r="O21" s="90">
        <f t="shared" si="12"/>
        <v>2.7067751071091425E-2</v>
      </c>
      <c r="P21" s="244"/>
    </row>
    <row r="22" spans="1:16" x14ac:dyDescent="0.35">
      <c r="A22" s="3" t="s">
        <v>60</v>
      </c>
      <c r="B22" s="188">
        <v>8151700</v>
      </c>
      <c r="C22" s="243">
        <f>SUM(C23:C24)</f>
        <v>0</v>
      </c>
      <c r="D22" s="188">
        <f>SUM(D23:D24)</f>
        <v>8151700</v>
      </c>
      <c r="E22" s="245"/>
      <c r="F22" s="91">
        <f t="shared" ref="F22" si="13">SUM(F23:F24)</f>
        <v>203400</v>
      </c>
      <c r="G22" s="226">
        <f>SUM(G23:G24)</f>
        <v>74800</v>
      </c>
      <c r="H22" s="226">
        <f t="shared" ref="H22:I22" si="14">SUM(H23:H24)</f>
        <v>0</v>
      </c>
      <c r="I22" s="259">
        <f t="shared" si="14"/>
        <v>1965900</v>
      </c>
      <c r="J22" s="319">
        <f>SUM(J23:J24)</f>
        <v>495600</v>
      </c>
      <c r="K22" s="305">
        <f>SUM(K23:K24)</f>
        <v>10395800</v>
      </c>
      <c r="L22" s="89">
        <f t="shared" ref="L22" si="15">SUM(L23:L24)</f>
        <v>495600</v>
      </c>
      <c r="M22" s="89">
        <f t="shared" ref="M22" si="16">SUM(M23:M24)</f>
        <v>10891400</v>
      </c>
      <c r="N22" s="89">
        <f t="shared" ref="N22" si="17">SUM(N23:N24)</f>
        <v>2244100</v>
      </c>
      <c r="O22" s="90">
        <f t="shared" si="12"/>
        <v>0.27529227032398151</v>
      </c>
      <c r="P22" s="244"/>
    </row>
    <row r="23" spans="1:16" x14ac:dyDescent="0.35">
      <c r="A23" s="13" t="s">
        <v>61</v>
      </c>
      <c r="B23" s="190">
        <v>1050500</v>
      </c>
      <c r="C23" s="246">
        <v>0</v>
      </c>
      <c r="D23" s="190">
        <f t="shared" ref="D23" si="18">SUM(B23:C23)</f>
        <v>1050500</v>
      </c>
      <c r="E23" s="246"/>
      <c r="F23" s="92">
        <v>54200</v>
      </c>
      <c r="G23" s="92">
        <f>7400+6900</f>
        <v>14300</v>
      </c>
      <c r="H23" s="190">
        <v>0</v>
      </c>
      <c r="I23" s="190">
        <v>-9300</v>
      </c>
      <c r="J23" s="323">
        <v>-800</v>
      </c>
      <c r="K23" s="308">
        <f>SUM(D23,E23:I23)</f>
        <v>1109700</v>
      </c>
      <c r="L23" s="92">
        <f t="shared" ref="L23" si="19">SUM(J23:J23)</f>
        <v>-800</v>
      </c>
      <c r="M23" s="92">
        <f t="shared" ref="M23" si="20">K23+L23</f>
        <v>1108900</v>
      </c>
      <c r="N23" s="92">
        <f>K23-B23</f>
        <v>59200</v>
      </c>
      <c r="O23" s="93">
        <f t="shared" si="12"/>
        <v>5.6354117087101377E-2</v>
      </c>
      <c r="P23" s="244"/>
    </row>
    <row r="24" spans="1:16" x14ac:dyDescent="0.35">
      <c r="A24" s="14" t="s">
        <v>62</v>
      </c>
      <c r="B24" s="191">
        <v>7101200</v>
      </c>
      <c r="C24" s="247">
        <v>0</v>
      </c>
      <c r="D24" s="191">
        <f>SUM(B24:C24)</f>
        <v>7101200</v>
      </c>
      <c r="E24" s="248"/>
      <c r="F24" s="249">
        <v>149200</v>
      </c>
      <c r="G24" s="250">
        <f>34300+26200</f>
        <v>60500</v>
      </c>
      <c r="H24" s="191">
        <v>0</v>
      </c>
      <c r="I24" s="191">
        <v>1975200</v>
      </c>
      <c r="J24" s="324">
        <v>496400</v>
      </c>
      <c r="K24" s="249">
        <f>SUM(D24,E24:I24)</f>
        <v>9286100</v>
      </c>
      <c r="L24" s="95">
        <f t="shared" ref="L24" si="21">SUM(J24:J24)</f>
        <v>496400</v>
      </c>
      <c r="M24" s="95">
        <f>K24+L24</f>
        <v>9782500</v>
      </c>
      <c r="N24" s="95">
        <f>K24-B24</f>
        <v>2184900</v>
      </c>
      <c r="O24" s="96">
        <f t="shared" si="12"/>
        <v>0.30768039204641467</v>
      </c>
      <c r="P24" s="244"/>
    </row>
    <row r="25" spans="1:16" x14ac:dyDescent="0.35">
      <c r="A25" s="3" t="s">
        <v>63</v>
      </c>
      <c r="B25" s="188">
        <v>4275900</v>
      </c>
      <c r="C25" s="243">
        <v>0</v>
      </c>
      <c r="D25" s="188">
        <f t="shared" si="7"/>
        <v>4275900</v>
      </c>
      <c r="E25" s="243">
        <v>0</v>
      </c>
      <c r="F25" s="89">
        <v>138900</v>
      </c>
      <c r="G25" s="89">
        <f>15600+13300</f>
        <v>28900</v>
      </c>
      <c r="H25" s="188">
        <v>0</v>
      </c>
      <c r="I25" s="188">
        <v>-13100</v>
      </c>
      <c r="J25" s="319">
        <v>-1100</v>
      </c>
      <c r="K25" s="305">
        <f>SUM(D25,E25:I25)</f>
        <v>4430600</v>
      </c>
      <c r="L25" s="89">
        <f t="shared" si="9"/>
        <v>-1100</v>
      </c>
      <c r="M25" s="89">
        <f t="shared" si="10"/>
        <v>4429500</v>
      </c>
      <c r="N25" s="89">
        <f>K25-B25</f>
        <v>154700</v>
      </c>
      <c r="O25" s="90">
        <f t="shared" si="12"/>
        <v>3.6179517762342434E-2</v>
      </c>
      <c r="P25" s="244"/>
    </row>
    <row r="26" spans="1:16" x14ac:dyDescent="0.35">
      <c r="A26" s="6" t="s">
        <v>64</v>
      </c>
      <c r="B26" s="185">
        <v>4805600</v>
      </c>
      <c r="C26" s="251">
        <v>0</v>
      </c>
      <c r="D26" s="185">
        <f t="shared" si="7"/>
        <v>4805600</v>
      </c>
      <c r="E26" s="251">
        <v>0</v>
      </c>
      <c r="F26" s="91">
        <v>175200</v>
      </c>
      <c r="G26" s="91">
        <f>20200+16900</f>
        <v>37100</v>
      </c>
      <c r="H26" s="185">
        <v>0</v>
      </c>
      <c r="I26" s="185">
        <v>-20800</v>
      </c>
      <c r="J26" s="325">
        <v>-1000</v>
      </c>
      <c r="K26" s="226">
        <f>SUM(D26,E26:I26)</f>
        <v>4997100</v>
      </c>
      <c r="L26" s="91">
        <f t="shared" si="9"/>
        <v>-1000</v>
      </c>
      <c r="M26" s="91">
        <f t="shared" si="10"/>
        <v>4996100</v>
      </c>
      <c r="N26" s="91">
        <f>K26-B26</f>
        <v>191500</v>
      </c>
      <c r="O26" s="87">
        <f t="shared" si="12"/>
        <v>3.9849342433827199E-2</v>
      </c>
      <c r="P26" s="244"/>
    </row>
    <row r="27" spans="1:16" x14ac:dyDescent="0.35">
      <c r="A27" s="7" t="s">
        <v>32</v>
      </c>
      <c r="B27" s="79">
        <f>SUM(B15:B26)-B22</f>
        <v>128607000</v>
      </c>
      <c r="C27" s="48">
        <f t="shared" ref="C27:N27" si="22">SUM(C15:C26)-C22</f>
        <v>0</v>
      </c>
      <c r="D27" s="79">
        <f>SUM(D15:D26)-D22</f>
        <v>128607000</v>
      </c>
      <c r="E27" s="48">
        <f t="shared" si="22"/>
        <v>0</v>
      </c>
      <c r="F27" s="47">
        <f>SUM(F15:F26)-F22</f>
        <v>3155400</v>
      </c>
      <c r="G27" s="47">
        <f>SUM(G15:G26)-G22</f>
        <v>1045600</v>
      </c>
      <c r="H27" s="79">
        <f t="shared" si="22"/>
        <v>0</v>
      </c>
      <c r="I27" s="79">
        <f>SUM(I15:I26)-I22</f>
        <v>1585500</v>
      </c>
      <c r="J27" s="326">
        <f t="shared" si="22"/>
        <v>431000</v>
      </c>
      <c r="K27" s="309">
        <f>SUM(K15:K26)-K22</f>
        <v>134393500</v>
      </c>
      <c r="L27" s="47">
        <f t="shared" si="22"/>
        <v>431000</v>
      </c>
      <c r="M27" s="47">
        <f t="shared" si="22"/>
        <v>134824500</v>
      </c>
      <c r="N27" s="47">
        <f t="shared" si="22"/>
        <v>5786500</v>
      </c>
      <c r="O27" s="94">
        <f t="shared" si="12"/>
        <v>4.4993662864385296E-2</v>
      </c>
      <c r="P27" s="22"/>
    </row>
    <row r="28" spans="1:16" x14ac:dyDescent="0.35">
      <c r="A28" s="7"/>
      <c r="B28" s="192"/>
      <c r="C28" s="252"/>
      <c r="D28" s="192"/>
      <c r="E28" s="252"/>
      <c r="F28" s="43"/>
      <c r="G28" s="43"/>
      <c r="H28" s="192"/>
      <c r="I28" s="192"/>
      <c r="J28" s="327"/>
      <c r="K28" s="310"/>
      <c r="L28" s="43"/>
      <c r="M28" s="43"/>
      <c r="N28" s="43"/>
      <c r="O28" s="90"/>
    </row>
    <row r="29" spans="1:16" x14ac:dyDescent="0.35">
      <c r="A29" s="5" t="s">
        <v>65</v>
      </c>
      <c r="B29" s="192"/>
      <c r="C29" s="252"/>
      <c r="D29" s="192"/>
      <c r="E29" s="252"/>
      <c r="F29" s="43"/>
      <c r="G29" s="43"/>
      <c r="H29" s="192"/>
      <c r="I29" s="192"/>
      <c r="J29" s="327"/>
      <c r="K29" s="310"/>
      <c r="L29" s="43"/>
      <c r="M29" s="43"/>
      <c r="N29" s="43"/>
      <c r="O29" s="90"/>
    </row>
    <row r="30" spans="1:16" x14ac:dyDescent="0.35">
      <c r="A30" s="3" t="s">
        <v>66</v>
      </c>
      <c r="B30" s="161">
        <v>6306100</v>
      </c>
      <c r="C30" s="241">
        <v>0</v>
      </c>
      <c r="D30" s="161">
        <f t="shared" ref="D30:D32" si="23">SUM(B30:C30)</f>
        <v>6306100</v>
      </c>
      <c r="E30" s="241">
        <v>50000</v>
      </c>
      <c r="F30" s="42">
        <v>141600</v>
      </c>
      <c r="G30" s="42">
        <f>36500+31500</f>
        <v>68000</v>
      </c>
      <c r="H30" s="161"/>
      <c r="I30" s="161">
        <v>1861900</v>
      </c>
      <c r="J30" s="318">
        <v>-2600</v>
      </c>
      <c r="K30" s="304">
        <f>SUM(D30,E30:I30)</f>
        <v>8427600</v>
      </c>
      <c r="L30" s="42">
        <f t="shared" ref="L30" si="24">SUM(J30:J30)</f>
        <v>-2600</v>
      </c>
      <c r="M30" s="42">
        <f>K30+L30</f>
        <v>8425000</v>
      </c>
      <c r="N30" s="42">
        <f>K30-B30</f>
        <v>2121500</v>
      </c>
      <c r="O30" s="90">
        <f t="shared" ref="O30:O36" si="25">(K30-B30)/B30</f>
        <v>0.33642029146382074</v>
      </c>
    </row>
    <row r="31" spans="1:16" x14ac:dyDescent="0.35">
      <c r="A31" s="3" t="s">
        <v>67</v>
      </c>
      <c r="B31" s="161">
        <v>6486600</v>
      </c>
      <c r="C31" s="243">
        <v>0</v>
      </c>
      <c r="D31" s="188">
        <f t="shared" si="23"/>
        <v>6486600</v>
      </c>
      <c r="E31" s="243"/>
      <c r="F31" s="89">
        <v>96600</v>
      </c>
      <c r="G31" s="89">
        <f>123700+97800</f>
        <v>221500</v>
      </c>
      <c r="H31" s="188">
        <v>0</v>
      </c>
      <c r="I31" s="188">
        <v>1322800</v>
      </c>
      <c r="J31" s="319">
        <v>-4600</v>
      </c>
      <c r="K31" s="305">
        <f>SUM(D31,E31:I31)</f>
        <v>8127500</v>
      </c>
      <c r="L31" s="89">
        <f t="shared" ref="L31:L32" si="26">SUM(J31:J31)</f>
        <v>-4600</v>
      </c>
      <c r="M31" s="89">
        <f>K31+L31</f>
        <v>8122900</v>
      </c>
      <c r="N31" s="89">
        <f>K31-B31</f>
        <v>1640900</v>
      </c>
      <c r="O31" s="90">
        <f t="shared" si="25"/>
        <v>0.25296765639934632</v>
      </c>
    </row>
    <row r="32" spans="1:16" x14ac:dyDescent="0.35">
      <c r="A32" s="3" t="s">
        <v>68</v>
      </c>
      <c r="B32" s="161">
        <v>32444100</v>
      </c>
      <c r="C32" s="243"/>
      <c r="D32" s="188">
        <f t="shared" si="23"/>
        <v>32444100</v>
      </c>
      <c r="E32" s="243"/>
      <c r="F32" s="89">
        <v>688800</v>
      </c>
      <c r="G32" s="89">
        <f>90200+74200</f>
        <v>164400</v>
      </c>
      <c r="H32" s="188">
        <v>0</v>
      </c>
      <c r="I32" s="188">
        <v>2212100</v>
      </c>
      <c r="J32" s="319">
        <v>-4800</v>
      </c>
      <c r="K32" s="305">
        <f>SUM(D32,E32:I32)</f>
        <v>35509400</v>
      </c>
      <c r="L32" s="89">
        <f t="shared" si="26"/>
        <v>-4800</v>
      </c>
      <c r="M32" s="89">
        <f>K32+L32</f>
        <v>35504600</v>
      </c>
      <c r="N32" s="89">
        <f>K32-B32</f>
        <v>3065300</v>
      </c>
      <c r="O32" s="90">
        <f t="shared" si="25"/>
        <v>9.4479427692554269E-2</v>
      </c>
    </row>
    <row r="33" spans="1:16" x14ac:dyDescent="0.35">
      <c r="A33" s="3" t="s">
        <v>69</v>
      </c>
      <c r="B33" s="161">
        <v>117418700</v>
      </c>
      <c r="C33" s="162">
        <f>SUM(C34:C36)</f>
        <v>-7900</v>
      </c>
      <c r="D33" s="188">
        <f>SUM(D34:D36)</f>
        <v>117410800</v>
      </c>
      <c r="E33" s="162">
        <f t="shared" ref="E33:N33" si="27">SUM(E34:E36)</f>
        <v>0</v>
      </c>
      <c r="F33" s="91">
        <f t="shared" si="27"/>
        <v>0</v>
      </c>
      <c r="G33" s="91">
        <f t="shared" si="27"/>
        <v>0</v>
      </c>
      <c r="H33" s="185">
        <f t="shared" si="27"/>
        <v>0</v>
      </c>
      <c r="I33" s="185">
        <f t="shared" si="27"/>
        <v>12116400</v>
      </c>
      <c r="J33" s="325">
        <f t="shared" si="27"/>
        <v>-700</v>
      </c>
      <c r="K33" s="305">
        <f>SUM(K34:K36)</f>
        <v>129527200</v>
      </c>
      <c r="L33" s="89">
        <f t="shared" si="27"/>
        <v>-700</v>
      </c>
      <c r="M33" s="89">
        <f>SUM(M34:M36)</f>
        <v>129526500</v>
      </c>
      <c r="N33" s="89">
        <f t="shared" si="27"/>
        <v>12108500</v>
      </c>
      <c r="O33" s="90">
        <f t="shared" si="25"/>
        <v>0.10312241576512089</v>
      </c>
      <c r="P33" s="253"/>
    </row>
    <row r="34" spans="1:16" x14ac:dyDescent="0.35">
      <c r="A34" s="13" t="s">
        <v>70</v>
      </c>
      <c r="B34" s="254">
        <v>113262500</v>
      </c>
      <c r="C34" s="246">
        <v>0</v>
      </c>
      <c r="D34" s="190">
        <f t="shared" ref="D34:D47" si="28">SUM(B34:C34)</f>
        <v>113262500</v>
      </c>
      <c r="E34" s="246"/>
      <c r="F34" s="92">
        <v>0</v>
      </c>
      <c r="G34" s="92">
        <v>0</v>
      </c>
      <c r="H34" s="190">
        <v>0</v>
      </c>
      <c r="I34" s="190">
        <v>12000000</v>
      </c>
      <c r="J34" s="323" t="s">
        <v>173</v>
      </c>
      <c r="K34" s="308">
        <f t="shared" ref="K34:K39" si="29">SUM(D34,E34:I34)</f>
        <v>125262500</v>
      </c>
      <c r="L34" s="92">
        <f t="shared" ref="L34:L36" si="30">SUM(J34:J34)</f>
        <v>0</v>
      </c>
      <c r="M34" s="92">
        <f t="shared" ref="M34:M41" si="31">K34+L34</f>
        <v>125262500</v>
      </c>
      <c r="N34" s="92">
        <f>K34-B34</f>
        <v>12000000</v>
      </c>
      <c r="O34" s="93">
        <f t="shared" si="25"/>
        <v>0.10594857079792518</v>
      </c>
    </row>
    <row r="35" spans="1:16" x14ac:dyDescent="0.35">
      <c r="A35" s="15" t="s">
        <v>71</v>
      </c>
      <c r="B35" s="225">
        <v>3103700</v>
      </c>
      <c r="C35" s="255">
        <v>-7900</v>
      </c>
      <c r="D35" s="225">
        <f>SUM(B35:C35)</f>
        <v>3095800</v>
      </c>
      <c r="E35" s="255">
        <v>0</v>
      </c>
      <c r="F35" s="100">
        <v>0</v>
      </c>
      <c r="G35" s="100">
        <v>0</v>
      </c>
      <c r="H35" s="193">
        <v>0</v>
      </c>
      <c r="I35" s="193">
        <v>116400</v>
      </c>
      <c r="J35" s="328">
        <v>-700</v>
      </c>
      <c r="K35" s="311">
        <f t="shared" si="29"/>
        <v>3212200</v>
      </c>
      <c r="L35" s="100">
        <f t="shared" si="30"/>
        <v>-700</v>
      </c>
      <c r="M35" s="100">
        <f t="shared" si="31"/>
        <v>3211500</v>
      </c>
      <c r="N35" s="100">
        <f>K35-B35</f>
        <v>108500</v>
      </c>
      <c r="O35" s="101">
        <f t="shared" si="25"/>
        <v>3.4958275606534139E-2</v>
      </c>
    </row>
    <row r="36" spans="1:16" x14ac:dyDescent="0.35">
      <c r="A36" s="16" t="s">
        <v>72</v>
      </c>
      <c r="B36" s="256">
        <v>1052500</v>
      </c>
      <c r="C36" s="247">
        <v>0</v>
      </c>
      <c r="D36" s="191">
        <f t="shared" si="28"/>
        <v>1052500</v>
      </c>
      <c r="E36" s="247">
        <v>0</v>
      </c>
      <c r="F36" s="95">
        <v>0</v>
      </c>
      <c r="G36" s="95">
        <v>0</v>
      </c>
      <c r="H36" s="191">
        <v>0</v>
      </c>
      <c r="I36" s="297" t="s">
        <v>173</v>
      </c>
      <c r="J36" s="329" t="s">
        <v>173</v>
      </c>
      <c r="K36" s="249">
        <f t="shared" si="29"/>
        <v>1052500</v>
      </c>
      <c r="L36" s="95">
        <f t="shared" si="30"/>
        <v>0</v>
      </c>
      <c r="M36" s="95">
        <f t="shared" si="31"/>
        <v>1052500</v>
      </c>
      <c r="N36" s="95">
        <f>K36-B36</f>
        <v>0</v>
      </c>
      <c r="O36" s="96">
        <f t="shared" si="25"/>
        <v>0</v>
      </c>
    </row>
    <row r="37" spans="1:16" x14ac:dyDescent="0.35">
      <c r="A37" s="12" t="s">
        <v>73</v>
      </c>
      <c r="B37" s="161">
        <v>2577000</v>
      </c>
      <c r="C37" s="243">
        <v>-207800</v>
      </c>
      <c r="D37" s="188">
        <f>SUM(B37:C37)</f>
        <v>2369200</v>
      </c>
      <c r="E37" s="243">
        <v>0</v>
      </c>
      <c r="F37" s="89">
        <v>0</v>
      </c>
      <c r="G37" s="89">
        <v>0</v>
      </c>
      <c r="H37" s="188">
        <v>0</v>
      </c>
      <c r="I37" s="188">
        <v>250000</v>
      </c>
      <c r="J37" s="319">
        <v>0</v>
      </c>
      <c r="K37" s="305">
        <f t="shared" si="29"/>
        <v>2619200</v>
      </c>
      <c r="L37" s="89">
        <f t="shared" ref="L37" si="32">SUM(J37:J37)</f>
        <v>0</v>
      </c>
      <c r="M37" s="89">
        <f>K37+L37</f>
        <v>2619200</v>
      </c>
      <c r="N37" s="89">
        <f>K37-B37</f>
        <v>42200</v>
      </c>
      <c r="O37" s="90">
        <f t="shared" ref="O37:O45" si="33">(K37-B37)/B37</f>
        <v>1.6375630578191695E-2</v>
      </c>
    </row>
    <row r="38" spans="1:16" x14ac:dyDescent="0.35">
      <c r="A38" s="4" t="s">
        <v>74</v>
      </c>
      <c r="B38" s="257">
        <v>7302700</v>
      </c>
      <c r="C38" s="258">
        <v>137600</v>
      </c>
      <c r="D38" s="188">
        <f>SUM(B38:C38)</f>
        <v>7440300</v>
      </c>
      <c r="E38" s="245">
        <f t="shared" ref="E38:J38" si="34">SUM(E39:E52)</f>
        <v>0</v>
      </c>
      <c r="F38" s="91">
        <f t="shared" si="34"/>
        <v>162500</v>
      </c>
      <c r="G38" s="226">
        <f t="shared" si="34"/>
        <v>0</v>
      </c>
      <c r="H38" s="259">
        <f t="shared" si="34"/>
        <v>0</v>
      </c>
      <c r="I38" s="185">
        <f t="shared" si="34"/>
        <v>217300</v>
      </c>
      <c r="J38" s="325">
        <f t="shared" si="34"/>
        <v>12690100</v>
      </c>
      <c r="K38" s="305">
        <f t="shared" si="29"/>
        <v>7820100</v>
      </c>
      <c r="L38" s="91">
        <f>SUM(L39:L52)</f>
        <v>12690100</v>
      </c>
      <c r="M38" s="91">
        <f>SUM(M39:M52)</f>
        <v>20510200</v>
      </c>
      <c r="N38" s="91">
        <f>SUM(N39:N52)</f>
        <v>517400</v>
      </c>
      <c r="O38" s="87">
        <f t="shared" si="33"/>
        <v>7.0850507346597827E-2</v>
      </c>
    </row>
    <row r="39" spans="1:16" x14ac:dyDescent="0.35">
      <c r="A39" s="13" t="s">
        <v>75</v>
      </c>
      <c r="B39" s="254">
        <v>5025300</v>
      </c>
      <c r="C39" s="246">
        <v>137600</v>
      </c>
      <c r="D39" s="190">
        <f t="shared" si="28"/>
        <v>5162900</v>
      </c>
      <c r="E39" s="246">
        <v>0</v>
      </c>
      <c r="F39" s="92">
        <v>162500</v>
      </c>
      <c r="G39" s="92">
        <v>0</v>
      </c>
      <c r="H39" s="190">
        <v>0</v>
      </c>
      <c r="I39" s="190">
        <v>217300</v>
      </c>
      <c r="J39" s="323">
        <v>-800</v>
      </c>
      <c r="K39" s="308">
        <f t="shared" si="29"/>
        <v>5542700</v>
      </c>
      <c r="L39" s="92">
        <f t="shared" ref="L39:L47" si="35">SUM(J39:J39)</f>
        <v>-800</v>
      </c>
      <c r="M39" s="92">
        <f t="shared" si="31"/>
        <v>5541900</v>
      </c>
      <c r="N39" s="92">
        <f t="shared" ref="N39:N52" si="36">K39-B39</f>
        <v>517400</v>
      </c>
      <c r="O39" s="101">
        <f t="shared" si="33"/>
        <v>0.10295902732175194</v>
      </c>
    </row>
    <row r="40" spans="1:16" x14ac:dyDescent="0.35">
      <c r="A40" s="15" t="s">
        <v>76</v>
      </c>
      <c r="B40" s="260">
        <v>200000</v>
      </c>
      <c r="C40" s="255">
        <v>0</v>
      </c>
      <c r="D40" s="193">
        <f t="shared" ref="D40" si="37">SUM(B40:C40)</f>
        <v>200000</v>
      </c>
      <c r="E40" s="255">
        <v>0</v>
      </c>
      <c r="F40" s="100">
        <v>0</v>
      </c>
      <c r="G40" s="100">
        <v>0</v>
      </c>
      <c r="H40" s="193">
        <v>0</v>
      </c>
      <c r="I40" s="193">
        <v>0</v>
      </c>
      <c r="J40" s="328">
        <v>0</v>
      </c>
      <c r="K40" s="311">
        <f t="shared" ref="K40:K52" si="38">SUM(D40,E40:I40)</f>
        <v>200000</v>
      </c>
      <c r="L40" s="100">
        <f t="shared" ref="L40" si="39">SUM(J40:J40)</f>
        <v>0</v>
      </c>
      <c r="M40" s="100">
        <f t="shared" si="31"/>
        <v>200000</v>
      </c>
      <c r="N40" s="100">
        <f t="shared" si="36"/>
        <v>0</v>
      </c>
      <c r="O40" s="101" t="s">
        <v>77</v>
      </c>
    </row>
    <row r="41" spans="1:16" x14ac:dyDescent="0.35">
      <c r="A41" s="15" t="s">
        <v>78</v>
      </c>
      <c r="B41" s="225">
        <v>105000</v>
      </c>
      <c r="C41" s="255">
        <v>0</v>
      </c>
      <c r="D41" s="193">
        <f t="shared" si="28"/>
        <v>105000</v>
      </c>
      <c r="E41" s="255">
        <v>0</v>
      </c>
      <c r="F41" s="100">
        <v>0</v>
      </c>
      <c r="G41" s="100">
        <v>0</v>
      </c>
      <c r="H41" s="100">
        <v>0</v>
      </c>
      <c r="I41" s="193">
        <v>0</v>
      </c>
      <c r="J41" s="328">
        <v>0</v>
      </c>
      <c r="K41" s="311">
        <f t="shared" si="38"/>
        <v>105000</v>
      </c>
      <c r="L41" s="100">
        <f t="shared" si="35"/>
        <v>0</v>
      </c>
      <c r="M41" s="100">
        <f t="shared" si="31"/>
        <v>105000</v>
      </c>
      <c r="N41" s="100">
        <f t="shared" si="36"/>
        <v>0</v>
      </c>
      <c r="O41" s="101">
        <f t="shared" si="33"/>
        <v>0</v>
      </c>
    </row>
    <row r="42" spans="1:16" x14ac:dyDescent="0.35">
      <c r="A42" s="15" t="s">
        <v>79</v>
      </c>
      <c r="B42" s="225">
        <v>100000</v>
      </c>
      <c r="C42" s="255">
        <v>0</v>
      </c>
      <c r="D42" s="193">
        <f t="shared" si="28"/>
        <v>100000</v>
      </c>
      <c r="E42" s="255">
        <v>0</v>
      </c>
      <c r="F42" s="100">
        <v>0</v>
      </c>
      <c r="G42" s="100">
        <v>0</v>
      </c>
      <c r="H42" s="100">
        <v>0</v>
      </c>
      <c r="I42" s="193">
        <v>0</v>
      </c>
      <c r="J42" s="328">
        <v>0</v>
      </c>
      <c r="K42" s="311">
        <f t="shared" si="38"/>
        <v>100000</v>
      </c>
      <c r="L42" s="100">
        <f t="shared" ref="L42" si="40">SUM(J42:J42)</f>
        <v>0</v>
      </c>
      <c r="M42" s="100">
        <f t="shared" ref="M42" si="41">K42+L42</f>
        <v>100000</v>
      </c>
      <c r="N42" s="100">
        <f t="shared" si="36"/>
        <v>0</v>
      </c>
      <c r="O42" s="101">
        <f t="shared" si="33"/>
        <v>0</v>
      </c>
    </row>
    <row r="43" spans="1:16" x14ac:dyDescent="0.35">
      <c r="A43" s="15" t="s">
        <v>80</v>
      </c>
      <c r="B43" s="225">
        <v>120600</v>
      </c>
      <c r="C43" s="255">
        <v>0</v>
      </c>
      <c r="D43" s="193">
        <f t="shared" si="28"/>
        <v>120600</v>
      </c>
      <c r="E43" s="255">
        <v>0</v>
      </c>
      <c r="F43" s="100">
        <v>0</v>
      </c>
      <c r="G43" s="100">
        <v>0</v>
      </c>
      <c r="H43" s="100">
        <v>0</v>
      </c>
      <c r="I43" s="193">
        <v>0</v>
      </c>
      <c r="J43" s="328">
        <v>0</v>
      </c>
      <c r="K43" s="311">
        <f t="shared" si="38"/>
        <v>120600</v>
      </c>
      <c r="L43" s="100">
        <f t="shared" ref="L43" si="42">SUM(J43:J43)</f>
        <v>0</v>
      </c>
      <c r="M43" s="100">
        <f t="shared" ref="M43" si="43">K43+L43</f>
        <v>120600</v>
      </c>
      <c r="N43" s="100">
        <f t="shared" si="36"/>
        <v>0</v>
      </c>
      <c r="O43" s="101">
        <f t="shared" si="33"/>
        <v>0</v>
      </c>
    </row>
    <row r="44" spans="1:16" x14ac:dyDescent="0.35">
      <c r="A44" s="15" t="s">
        <v>81</v>
      </c>
      <c r="B44" s="225">
        <v>83900</v>
      </c>
      <c r="C44" s="255">
        <v>0</v>
      </c>
      <c r="D44" s="193">
        <f t="shared" si="28"/>
        <v>83900</v>
      </c>
      <c r="E44" s="255">
        <v>0</v>
      </c>
      <c r="F44" s="100">
        <v>0</v>
      </c>
      <c r="G44" s="100">
        <v>0</v>
      </c>
      <c r="H44" s="100">
        <v>0</v>
      </c>
      <c r="I44" s="193">
        <v>0</v>
      </c>
      <c r="J44" s="328">
        <v>0</v>
      </c>
      <c r="K44" s="311">
        <f t="shared" si="38"/>
        <v>83900</v>
      </c>
      <c r="L44" s="100">
        <f t="shared" si="35"/>
        <v>0</v>
      </c>
      <c r="M44" s="100">
        <f t="shared" ref="M44:M47" si="44">K44+L44</f>
        <v>83900</v>
      </c>
      <c r="N44" s="100">
        <f t="shared" si="36"/>
        <v>0</v>
      </c>
      <c r="O44" s="101">
        <f t="shared" si="33"/>
        <v>0</v>
      </c>
    </row>
    <row r="45" spans="1:16" x14ac:dyDescent="0.35">
      <c r="A45" s="15" t="s">
        <v>82</v>
      </c>
      <c r="B45" s="225">
        <v>416400</v>
      </c>
      <c r="C45" s="255">
        <v>0</v>
      </c>
      <c r="D45" s="193">
        <f t="shared" si="28"/>
        <v>416400</v>
      </c>
      <c r="E45" s="255">
        <v>0</v>
      </c>
      <c r="F45" s="100">
        <v>0</v>
      </c>
      <c r="G45" s="100">
        <v>0</v>
      </c>
      <c r="H45" s="100">
        <v>0</v>
      </c>
      <c r="I45" s="193">
        <v>0</v>
      </c>
      <c r="J45" s="328">
        <v>0</v>
      </c>
      <c r="K45" s="311">
        <f t="shared" si="38"/>
        <v>416400</v>
      </c>
      <c r="L45" s="100">
        <f t="shared" si="35"/>
        <v>0</v>
      </c>
      <c r="M45" s="100">
        <f t="shared" si="44"/>
        <v>416400</v>
      </c>
      <c r="N45" s="100">
        <f t="shared" si="36"/>
        <v>0</v>
      </c>
      <c r="O45" s="101">
        <f t="shared" si="33"/>
        <v>0</v>
      </c>
    </row>
    <row r="46" spans="1:16" x14ac:dyDescent="0.35">
      <c r="A46" s="15" t="s">
        <v>83</v>
      </c>
      <c r="B46" s="225">
        <v>245200</v>
      </c>
      <c r="C46" s="255">
        <v>0</v>
      </c>
      <c r="D46" s="193">
        <f t="shared" si="28"/>
        <v>245200</v>
      </c>
      <c r="E46" s="255">
        <v>0</v>
      </c>
      <c r="F46" s="100">
        <v>0</v>
      </c>
      <c r="G46" s="100">
        <v>0</v>
      </c>
      <c r="H46" s="100">
        <v>0</v>
      </c>
      <c r="I46" s="193">
        <v>0</v>
      </c>
      <c r="J46" s="328">
        <v>0</v>
      </c>
      <c r="K46" s="311">
        <f t="shared" si="38"/>
        <v>245200</v>
      </c>
      <c r="L46" s="100">
        <f t="shared" si="35"/>
        <v>0</v>
      </c>
      <c r="M46" s="100">
        <f t="shared" si="44"/>
        <v>245200</v>
      </c>
      <c r="N46" s="100">
        <f t="shared" si="36"/>
        <v>0</v>
      </c>
      <c r="O46" s="101" t="s">
        <v>77</v>
      </c>
    </row>
    <row r="47" spans="1:16" x14ac:dyDescent="0.35">
      <c r="A47" s="15" t="s">
        <v>84</v>
      </c>
      <c r="B47" s="225">
        <v>200000</v>
      </c>
      <c r="C47" s="255">
        <v>0</v>
      </c>
      <c r="D47" s="193">
        <f t="shared" si="28"/>
        <v>200000</v>
      </c>
      <c r="E47" s="255">
        <v>0</v>
      </c>
      <c r="F47" s="100">
        <v>0</v>
      </c>
      <c r="G47" s="100">
        <v>0</v>
      </c>
      <c r="H47" s="100">
        <v>0</v>
      </c>
      <c r="I47" s="193">
        <v>0</v>
      </c>
      <c r="J47" s="328">
        <v>0</v>
      </c>
      <c r="K47" s="311">
        <f t="shared" si="38"/>
        <v>200000</v>
      </c>
      <c r="L47" s="100">
        <f t="shared" si="35"/>
        <v>0</v>
      </c>
      <c r="M47" s="100">
        <f t="shared" si="44"/>
        <v>200000</v>
      </c>
      <c r="N47" s="100">
        <f t="shared" si="36"/>
        <v>0</v>
      </c>
      <c r="O47" s="101" t="s">
        <v>77</v>
      </c>
    </row>
    <row r="48" spans="1:16" ht="18" customHeight="1" x14ac:dyDescent="0.35">
      <c r="A48" s="15" t="s">
        <v>85</v>
      </c>
      <c r="B48" s="225">
        <v>96300</v>
      </c>
      <c r="C48" s="255">
        <v>0</v>
      </c>
      <c r="D48" s="193">
        <f>SUM(B48:C48)</f>
        <v>96300</v>
      </c>
      <c r="E48" s="255">
        <v>0</v>
      </c>
      <c r="F48" s="100">
        <v>0</v>
      </c>
      <c r="G48" s="100">
        <v>0</v>
      </c>
      <c r="H48" s="100">
        <v>0</v>
      </c>
      <c r="I48" s="193">
        <v>0</v>
      </c>
      <c r="J48" s="328">
        <v>0</v>
      </c>
      <c r="K48" s="311">
        <f t="shared" si="38"/>
        <v>96300</v>
      </c>
      <c r="L48" s="100">
        <f>H48+J48</f>
        <v>0</v>
      </c>
      <c r="M48" s="100">
        <f>K48+L48</f>
        <v>96300</v>
      </c>
      <c r="N48" s="100">
        <f t="shared" si="36"/>
        <v>0</v>
      </c>
      <c r="O48" s="101" t="s">
        <v>77</v>
      </c>
    </row>
    <row r="49" spans="1:16" ht="18" customHeight="1" x14ac:dyDescent="0.35">
      <c r="A49" s="15" t="s">
        <v>86</v>
      </c>
      <c r="B49" s="225">
        <v>84000</v>
      </c>
      <c r="C49" s="255">
        <v>0</v>
      </c>
      <c r="D49" s="193">
        <f>SUM(B49:C49)</f>
        <v>84000</v>
      </c>
      <c r="E49" s="255">
        <v>0</v>
      </c>
      <c r="F49" s="100">
        <v>0</v>
      </c>
      <c r="G49" s="100">
        <v>0</v>
      </c>
      <c r="H49" s="100">
        <v>0</v>
      </c>
      <c r="I49" s="193">
        <v>0</v>
      </c>
      <c r="J49" s="328">
        <v>0</v>
      </c>
      <c r="K49" s="311">
        <f t="shared" si="38"/>
        <v>84000</v>
      </c>
      <c r="L49" s="100">
        <f>H49+J49</f>
        <v>0</v>
      </c>
      <c r="M49" s="100">
        <f>K49+L49</f>
        <v>84000</v>
      </c>
      <c r="N49" s="100">
        <f t="shared" si="36"/>
        <v>0</v>
      </c>
      <c r="O49" s="101" t="s">
        <v>77</v>
      </c>
    </row>
    <row r="50" spans="1:16" x14ac:dyDescent="0.35">
      <c r="A50" s="15" t="s">
        <v>87</v>
      </c>
      <c r="B50" s="225">
        <v>426000</v>
      </c>
      <c r="C50" s="255">
        <v>0</v>
      </c>
      <c r="D50" s="193">
        <f>SUM(B50:C50)</f>
        <v>426000</v>
      </c>
      <c r="E50" s="255">
        <v>0</v>
      </c>
      <c r="F50" s="100">
        <v>0</v>
      </c>
      <c r="G50" s="100">
        <v>0</v>
      </c>
      <c r="H50" s="100">
        <v>0</v>
      </c>
      <c r="I50" s="193">
        <v>0</v>
      </c>
      <c r="J50" s="328">
        <v>0</v>
      </c>
      <c r="K50" s="311">
        <f t="shared" si="38"/>
        <v>426000</v>
      </c>
      <c r="L50" s="100">
        <f t="shared" ref="L50" si="45">SUM(J50:J50)</f>
        <v>0</v>
      </c>
      <c r="M50" s="100">
        <f t="shared" ref="M50" si="46">K50+L50</f>
        <v>426000</v>
      </c>
      <c r="N50" s="100">
        <f t="shared" si="36"/>
        <v>0</v>
      </c>
      <c r="O50" s="101" t="s">
        <v>77</v>
      </c>
    </row>
    <row r="51" spans="1:16" x14ac:dyDescent="0.35">
      <c r="A51" s="15" t="s">
        <v>88</v>
      </c>
      <c r="B51" s="225">
        <v>0</v>
      </c>
      <c r="C51" s="255">
        <v>0</v>
      </c>
      <c r="D51" s="193">
        <v>0</v>
      </c>
      <c r="E51" s="255">
        <v>0</v>
      </c>
      <c r="F51" s="100">
        <v>0</v>
      </c>
      <c r="G51" s="100">
        <v>0</v>
      </c>
      <c r="H51" s="100"/>
      <c r="I51" s="193">
        <v>0</v>
      </c>
      <c r="J51" s="328">
        <v>12690900</v>
      </c>
      <c r="K51" s="311">
        <f>SUM(D51,E51:I51)</f>
        <v>0</v>
      </c>
      <c r="L51" s="100">
        <f t="shared" ref="L51" si="47">SUM(J51:J51)</f>
        <v>12690900</v>
      </c>
      <c r="M51" s="100">
        <f t="shared" ref="M51" si="48">K51+L51</f>
        <v>12690900</v>
      </c>
      <c r="N51" s="100">
        <f>K51-B51</f>
        <v>0</v>
      </c>
      <c r="O51" s="101" t="s">
        <v>77</v>
      </c>
    </row>
    <row r="52" spans="1:16" x14ac:dyDescent="0.35">
      <c r="A52" s="15" t="s">
        <v>89</v>
      </c>
      <c r="B52" s="260">
        <v>200000</v>
      </c>
      <c r="C52" s="255">
        <v>0</v>
      </c>
      <c r="D52" s="193">
        <f>SUM(B52:C52)</f>
        <v>200000</v>
      </c>
      <c r="E52" s="255">
        <v>0</v>
      </c>
      <c r="F52" s="100">
        <v>0</v>
      </c>
      <c r="G52" s="100">
        <v>0</v>
      </c>
      <c r="H52" s="100"/>
      <c r="I52" s="193">
        <v>0</v>
      </c>
      <c r="J52" s="328">
        <v>0</v>
      </c>
      <c r="K52" s="311">
        <f t="shared" si="38"/>
        <v>200000</v>
      </c>
      <c r="L52" s="100">
        <f>SUM(J52:J52)</f>
        <v>0</v>
      </c>
      <c r="M52" s="100">
        <f>K52+L52</f>
        <v>200000</v>
      </c>
      <c r="N52" s="100">
        <f t="shared" si="36"/>
        <v>0</v>
      </c>
      <c r="O52" s="101" t="s">
        <v>77</v>
      </c>
    </row>
    <row r="53" spans="1:16" x14ac:dyDescent="0.35">
      <c r="A53" s="17" t="s">
        <v>32</v>
      </c>
      <c r="B53" s="97">
        <f t="shared" ref="B53:N53" si="49">SUM(B30:B33,B37:B38)</f>
        <v>172535200</v>
      </c>
      <c r="C53" s="97">
        <f t="shared" si="49"/>
        <v>-78100</v>
      </c>
      <c r="D53" s="78">
        <f t="shared" si="49"/>
        <v>172457100</v>
      </c>
      <c r="E53" s="97">
        <f t="shared" si="49"/>
        <v>50000</v>
      </c>
      <c r="F53" s="98">
        <f t="shared" si="49"/>
        <v>1089500</v>
      </c>
      <c r="G53" s="98">
        <f t="shared" si="49"/>
        <v>453900</v>
      </c>
      <c r="H53" s="98">
        <f t="shared" si="49"/>
        <v>0</v>
      </c>
      <c r="I53" s="78">
        <f t="shared" si="49"/>
        <v>17980500</v>
      </c>
      <c r="J53" s="320">
        <f t="shared" si="49"/>
        <v>12677400</v>
      </c>
      <c r="K53" s="306">
        <f t="shared" si="49"/>
        <v>192031000</v>
      </c>
      <c r="L53" s="98">
        <f t="shared" si="49"/>
        <v>12677400</v>
      </c>
      <c r="M53" s="98">
        <f t="shared" si="49"/>
        <v>204708400</v>
      </c>
      <c r="N53" s="98">
        <f t="shared" si="49"/>
        <v>19495800</v>
      </c>
      <c r="O53" s="99">
        <f>(K53-B53)/B53</f>
        <v>0.1129960726854578</v>
      </c>
      <c r="P53" s="22"/>
    </row>
    <row r="54" spans="1:16" x14ac:dyDescent="0.35">
      <c r="A54" s="3"/>
      <c r="B54" s="189"/>
      <c r="C54" s="3"/>
      <c r="D54" s="188"/>
      <c r="E54" s="3"/>
      <c r="F54" s="66"/>
      <c r="G54" s="66"/>
      <c r="H54" s="66"/>
      <c r="I54" s="189"/>
      <c r="J54" s="321"/>
      <c r="K54" s="307"/>
      <c r="L54" s="66"/>
      <c r="M54" s="66"/>
      <c r="N54" s="66"/>
      <c r="O54" s="90"/>
    </row>
    <row r="55" spans="1:16" x14ac:dyDescent="0.35">
      <c r="A55" s="18" t="s">
        <v>90</v>
      </c>
      <c r="B55" s="80">
        <f t="shared" ref="B55:N55" si="50">B12+B27+B53</f>
        <v>622809500</v>
      </c>
      <c r="C55" s="106">
        <f t="shared" si="50"/>
        <v>-78100</v>
      </c>
      <c r="D55" s="80">
        <f t="shared" si="50"/>
        <v>622731400</v>
      </c>
      <c r="E55" s="106">
        <f t="shared" si="50"/>
        <v>1652600</v>
      </c>
      <c r="F55" s="107">
        <f t="shared" si="50"/>
        <v>14044700</v>
      </c>
      <c r="G55" s="107">
        <f t="shared" si="50"/>
        <v>4000900</v>
      </c>
      <c r="H55" s="107">
        <f t="shared" si="50"/>
        <v>0</v>
      </c>
      <c r="I55" s="80">
        <f t="shared" si="50"/>
        <v>18553300</v>
      </c>
      <c r="J55" s="330">
        <f t="shared" si="50"/>
        <v>26145400</v>
      </c>
      <c r="K55" s="312">
        <f t="shared" si="50"/>
        <v>660982900</v>
      </c>
      <c r="L55" s="107">
        <f t="shared" si="50"/>
        <v>26145400</v>
      </c>
      <c r="M55" s="107">
        <f t="shared" si="50"/>
        <v>687128300</v>
      </c>
      <c r="N55" s="107">
        <f t="shared" si="50"/>
        <v>38173400</v>
      </c>
      <c r="O55" s="108">
        <f>(K55-B55)/B55</f>
        <v>6.1292257102693523E-2</v>
      </c>
      <c r="P55" s="22"/>
    </row>
    <row r="56" spans="1:16" x14ac:dyDescent="0.35">
      <c r="A56" s="3"/>
      <c r="B56" s="78"/>
      <c r="C56" s="261"/>
      <c r="D56" s="78"/>
      <c r="E56" s="261"/>
      <c r="F56" s="98"/>
      <c r="G56" s="98"/>
      <c r="H56" s="98"/>
      <c r="I56" s="78"/>
      <c r="J56" s="320"/>
      <c r="K56" s="306"/>
      <c r="L56" s="98"/>
      <c r="M56" s="98"/>
      <c r="N56" s="98"/>
      <c r="O56" s="99"/>
    </row>
    <row r="57" spans="1:16" x14ac:dyDescent="0.35">
      <c r="A57" s="7" t="s">
        <v>91</v>
      </c>
      <c r="B57" s="79">
        <f>B55+'2025-26 Form Distr'!B27</f>
        <v>2264146000</v>
      </c>
      <c r="C57" s="48">
        <f>C55+'2025-26 Form Distr'!C27</f>
        <v>-78100</v>
      </c>
      <c r="D57" s="79">
        <f>D55+'2025-26 Form Distr'!D27</f>
        <v>2264067900</v>
      </c>
      <c r="E57" s="48">
        <f>E55+'2025-26 Form Distr'!F27</f>
        <v>18667500</v>
      </c>
      <c r="F57" s="47">
        <f>F55+'2025-26 Form Distr'!G27</f>
        <v>49872700</v>
      </c>
      <c r="G57" s="47">
        <f>G55+'2025-26 Form Distr'!H27</f>
        <v>18404900</v>
      </c>
      <c r="H57" s="47">
        <f>H55+'2025-26 Form Distr'!I27</f>
        <v>0</v>
      </c>
      <c r="I57" s="79">
        <f>I55+'2025-26 Form Distr'!J27</f>
        <v>18733900</v>
      </c>
      <c r="J57" s="326">
        <f>J55+'2025-26 Form Distr'!K27</f>
        <v>29908200</v>
      </c>
      <c r="K57" s="309">
        <f>K55+'2025-26 Form Distr'!L27</f>
        <v>2369746900</v>
      </c>
      <c r="L57" s="47">
        <f>L55+'2025-26 Form Distr'!M27</f>
        <v>29908200</v>
      </c>
      <c r="M57" s="47">
        <f>M55+'2025-26 Form Distr'!N27</f>
        <v>2399655100</v>
      </c>
      <c r="N57" s="47">
        <f>N55+'2025-26 Form Distr'!O27</f>
        <v>105600900</v>
      </c>
      <c r="O57" s="94">
        <f>(K57-B57)/B57</f>
        <v>4.6640499331756874E-2</v>
      </c>
      <c r="P57" s="22"/>
    </row>
    <row r="58" spans="1:16" x14ac:dyDescent="0.35">
      <c r="A58" s="3"/>
      <c r="B58" s="189"/>
      <c r="C58" s="3"/>
      <c r="D58" s="189"/>
      <c r="E58" s="3"/>
      <c r="F58" s="66"/>
      <c r="G58" s="66"/>
      <c r="H58" s="66"/>
      <c r="I58" s="189"/>
      <c r="J58" s="321"/>
      <c r="K58" s="307"/>
      <c r="L58" s="66"/>
      <c r="M58" s="66"/>
      <c r="N58" s="66"/>
      <c r="O58" s="90"/>
    </row>
    <row r="59" spans="1:16" x14ac:dyDescent="0.35">
      <c r="A59" s="5" t="s">
        <v>92</v>
      </c>
      <c r="B59" s="189"/>
      <c r="C59" s="3"/>
      <c r="D59" s="189"/>
      <c r="E59" s="3"/>
      <c r="F59" s="66"/>
      <c r="G59" s="66"/>
      <c r="H59" s="66"/>
      <c r="I59" s="189"/>
      <c r="J59" s="321"/>
      <c r="K59" s="307"/>
      <c r="L59" s="66"/>
      <c r="M59" s="66"/>
      <c r="N59" s="66"/>
      <c r="O59" s="90"/>
    </row>
    <row r="60" spans="1:16" x14ac:dyDescent="0.35">
      <c r="A60" s="3" t="s">
        <v>93</v>
      </c>
      <c r="B60" s="161">
        <v>21052200</v>
      </c>
      <c r="C60" s="241">
        <f>20847000-B60</f>
        <v>-205200</v>
      </c>
      <c r="D60" s="161">
        <f t="shared" ref="D60:D68" si="51">SUM(B60:C60)</f>
        <v>20847000</v>
      </c>
      <c r="E60" s="241">
        <v>475700</v>
      </c>
      <c r="F60" s="42"/>
      <c r="G60" s="42">
        <v>0</v>
      </c>
      <c r="H60" s="42">
        <v>0</v>
      </c>
      <c r="I60" s="161">
        <v>-5900</v>
      </c>
      <c r="J60" s="318">
        <v>0</v>
      </c>
      <c r="K60" s="304">
        <f t="shared" ref="K60:K65" si="52">SUM(D60,E60:I60)</f>
        <v>21316800</v>
      </c>
      <c r="L60" s="42">
        <f t="shared" ref="L60:L65" si="53">SUM(J60:J60)</f>
        <v>0</v>
      </c>
      <c r="M60" s="42">
        <f t="shared" ref="M60:M67" si="54">K60+L60</f>
        <v>21316800</v>
      </c>
      <c r="N60" s="42">
        <f t="shared" ref="N60:N65" si="55">K60-B60</f>
        <v>264600</v>
      </c>
      <c r="O60" s="90">
        <f t="shared" ref="O60:O79" si="56">(K60-B60)/B60</f>
        <v>1.2568757659532021E-2</v>
      </c>
    </row>
    <row r="61" spans="1:16" x14ac:dyDescent="0.35">
      <c r="A61" s="3" t="s">
        <v>94</v>
      </c>
      <c r="B61" s="161">
        <v>1527700</v>
      </c>
      <c r="C61" s="241">
        <f>1512800-B61</f>
        <v>-14900</v>
      </c>
      <c r="D61" s="188">
        <f t="shared" si="51"/>
        <v>1512800</v>
      </c>
      <c r="E61" s="243">
        <v>32100</v>
      </c>
      <c r="F61" s="89"/>
      <c r="G61" s="89">
        <v>0</v>
      </c>
      <c r="H61" s="89">
        <v>0</v>
      </c>
      <c r="I61" s="188">
        <v>-600</v>
      </c>
      <c r="J61" s="319">
        <v>0</v>
      </c>
      <c r="K61" s="305">
        <f t="shared" si="52"/>
        <v>1544300</v>
      </c>
      <c r="L61" s="89">
        <f t="shared" si="53"/>
        <v>0</v>
      </c>
      <c r="M61" s="89">
        <f t="shared" si="54"/>
        <v>1544300</v>
      </c>
      <c r="N61" s="89">
        <f t="shared" si="55"/>
        <v>16600</v>
      </c>
      <c r="O61" s="90">
        <f t="shared" si="56"/>
        <v>1.0866007724029587E-2</v>
      </c>
    </row>
    <row r="62" spans="1:16" ht="15.75" customHeight="1" x14ac:dyDescent="0.35">
      <c r="A62" s="3" t="s">
        <v>95</v>
      </c>
      <c r="B62" s="161">
        <v>1590500</v>
      </c>
      <c r="C62" s="241">
        <f>1590500-B62</f>
        <v>0</v>
      </c>
      <c r="D62" s="188">
        <f t="shared" si="51"/>
        <v>1590500</v>
      </c>
      <c r="E62" s="243">
        <v>0</v>
      </c>
      <c r="F62" s="89">
        <v>0</v>
      </c>
      <c r="G62" s="89">
        <v>0</v>
      </c>
      <c r="H62" s="89">
        <v>0</v>
      </c>
      <c r="I62" s="188">
        <v>0</v>
      </c>
      <c r="J62" s="319">
        <v>0</v>
      </c>
      <c r="K62" s="305">
        <f t="shared" si="52"/>
        <v>1590500</v>
      </c>
      <c r="L62" s="89">
        <f t="shared" si="53"/>
        <v>0</v>
      </c>
      <c r="M62" s="89">
        <f t="shared" si="54"/>
        <v>1590500</v>
      </c>
      <c r="N62" s="89">
        <f t="shared" si="55"/>
        <v>0</v>
      </c>
      <c r="O62" s="90">
        <f t="shared" si="56"/>
        <v>0</v>
      </c>
    </row>
    <row r="63" spans="1:16" x14ac:dyDescent="0.35">
      <c r="A63" s="3" t="s">
        <v>96</v>
      </c>
      <c r="B63" s="192">
        <v>5806700</v>
      </c>
      <c r="C63" s="243">
        <v>0</v>
      </c>
      <c r="D63" s="188">
        <f t="shared" si="51"/>
        <v>5806700</v>
      </c>
      <c r="E63" s="243">
        <v>0</v>
      </c>
      <c r="F63" s="89">
        <v>0</v>
      </c>
      <c r="G63" s="89">
        <v>0</v>
      </c>
      <c r="H63" s="89">
        <v>0</v>
      </c>
      <c r="I63" s="296" t="s">
        <v>173</v>
      </c>
      <c r="J63" s="322" t="s">
        <v>173</v>
      </c>
      <c r="K63" s="305">
        <f t="shared" si="52"/>
        <v>5806700</v>
      </c>
      <c r="L63" s="89">
        <f t="shared" si="53"/>
        <v>0</v>
      </c>
      <c r="M63" s="89">
        <f t="shared" si="54"/>
        <v>5806700</v>
      </c>
      <c r="N63" s="89">
        <f t="shared" si="55"/>
        <v>0</v>
      </c>
      <c r="O63" s="90">
        <f t="shared" si="56"/>
        <v>0</v>
      </c>
    </row>
    <row r="64" spans="1:16" x14ac:dyDescent="0.35">
      <c r="A64" s="3" t="s">
        <v>97</v>
      </c>
      <c r="B64" s="192">
        <v>10256900</v>
      </c>
      <c r="C64" s="243">
        <v>0</v>
      </c>
      <c r="D64" s="188">
        <f t="shared" si="51"/>
        <v>10256900</v>
      </c>
      <c r="E64" s="243">
        <v>0</v>
      </c>
      <c r="F64" s="89">
        <v>0</v>
      </c>
      <c r="G64" s="89">
        <v>0</v>
      </c>
      <c r="H64" s="89">
        <v>0</v>
      </c>
      <c r="I64" s="296" t="s">
        <v>173</v>
      </c>
      <c r="J64" s="322" t="s">
        <v>173</v>
      </c>
      <c r="K64" s="305">
        <f t="shared" si="52"/>
        <v>10256900</v>
      </c>
      <c r="L64" s="89">
        <f t="shared" si="53"/>
        <v>0</v>
      </c>
      <c r="M64" s="89">
        <f>K64+L64</f>
        <v>10256900</v>
      </c>
      <c r="N64" s="89">
        <f t="shared" si="55"/>
        <v>0</v>
      </c>
      <c r="O64" s="90">
        <f t="shared" si="56"/>
        <v>0</v>
      </c>
    </row>
    <row r="65" spans="1:15" x14ac:dyDescent="0.35">
      <c r="A65" s="12" t="s">
        <v>98</v>
      </c>
      <c r="B65" s="192">
        <v>5852900</v>
      </c>
      <c r="C65" s="243">
        <v>0</v>
      </c>
      <c r="D65" s="188">
        <f>SUM(B65:C65)</f>
        <v>5852900</v>
      </c>
      <c r="E65" s="243">
        <v>0</v>
      </c>
      <c r="F65" s="89">
        <v>0</v>
      </c>
      <c r="G65" s="89">
        <v>0</v>
      </c>
      <c r="H65" s="89">
        <v>0</v>
      </c>
      <c r="I65" s="296" t="s">
        <v>173</v>
      </c>
      <c r="J65" s="322" t="s">
        <v>173</v>
      </c>
      <c r="K65" s="305">
        <f t="shared" si="52"/>
        <v>5852900</v>
      </c>
      <c r="L65" s="89">
        <f t="shared" si="53"/>
        <v>0</v>
      </c>
      <c r="M65" s="89">
        <f>K65+L65</f>
        <v>5852900</v>
      </c>
      <c r="N65" s="89">
        <f t="shared" si="55"/>
        <v>0</v>
      </c>
      <c r="O65" s="90">
        <f t="shared" si="56"/>
        <v>0</v>
      </c>
    </row>
    <row r="66" spans="1:15" x14ac:dyDescent="0.35">
      <c r="A66" s="3" t="s">
        <v>99</v>
      </c>
      <c r="B66" s="192">
        <f>SUM(B67:B79)</f>
        <v>8661200</v>
      </c>
      <c r="C66" s="243">
        <f>8661200-B66</f>
        <v>0</v>
      </c>
      <c r="D66" s="188">
        <f>SUM(B66:C66)</f>
        <v>8661200</v>
      </c>
      <c r="E66" s="243">
        <f>SUM(E67:E79)</f>
        <v>0</v>
      </c>
      <c r="F66" s="89">
        <f>SUM(F67:F79)</f>
        <v>0</v>
      </c>
      <c r="G66" s="89">
        <f>SUM(G67:G79)</f>
        <v>0</v>
      </c>
      <c r="H66" s="89">
        <f t="shared" ref="H66:N66" si="57">SUM(H67:H75)</f>
        <v>0</v>
      </c>
      <c r="I66" s="188">
        <f>SUM(I67:I79)</f>
        <v>0</v>
      </c>
      <c r="J66" s="319">
        <f>SUM(J67:J79)</f>
        <v>11662700</v>
      </c>
      <c r="K66" s="305">
        <f>SUM(D66,E66:I66)</f>
        <v>8661200</v>
      </c>
      <c r="L66" s="89">
        <f>SUM(L67:L79)</f>
        <v>11662700</v>
      </c>
      <c r="M66" s="89">
        <f>K66+L66</f>
        <v>20323900</v>
      </c>
      <c r="N66" s="89">
        <f t="shared" si="57"/>
        <v>0</v>
      </c>
      <c r="O66" s="90">
        <f t="shared" si="56"/>
        <v>0</v>
      </c>
    </row>
    <row r="67" spans="1:15" x14ac:dyDescent="0.35">
      <c r="A67" s="13" t="s">
        <v>100</v>
      </c>
      <c r="B67" s="262">
        <v>3125600</v>
      </c>
      <c r="C67" s="246">
        <v>0</v>
      </c>
      <c r="D67" s="190">
        <f t="shared" si="51"/>
        <v>3125600</v>
      </c>
      <c r="E67" s="246">
        <v>0</v>
      </c>
      <c r="F67" s="92">
        <v>0</v>
      </c>
      <c r="G67" s="92">
        <v>0</v>
      </c>
      <c r="H67" s="92">
        <v>0</v>
      </c>
      <c r="I67" s="190">
        <v>0</v>
      </c>
      <c r="J67" s="323">
        <v>0</v>
      </c>
      <c r="K67" s="308">
        <f t="shared" ref="K67:K74" si="58">SUM(D67,E67:I67)</f>
        <v>3125600</v>
      </c>
      <c r="L67" s="92">
        <f t="shared" ref="L67" si="59">SUM(J67:J67)</f>
        <v>0</v>
      </c>
      <c r="M67" s="92">
        <f t="shared" si="54"/>
        <v>3125600</v>
      </c>
      <c r="N67" s="92">
        <f t="shared" ref="N67:N79" si="60">K67-B67</f>
        <v>0</v>
      </c>
      <c r="O67" s="93">
        <f t="shared" si="56"/>
        <v>0</v>
      </c>
    </row>
    <row r="68" spans="1:15" x14ac:dyDescent="0.35">
      <c r="A68" s="15" t="s">
        <v>101</v>
      </c>
      <c r="B68" s="260">
        <v>150000</v>
      </c>
      <c r="C68" s="255">
        <v>0</v>
      </c>
      <c r="D68" s="193">
        <f t="shared" si="51"/>
        <v>150000</v>
      </c>
      <c r="E68" s="255">
        <v>0</v>
      </c>
      <c r="F68" s="100">
        <v>0</v>
      </c>
      <c r="G68" s="100">
        <v>0</v>
      </c>
      <c r="H68" s="100">
        <v>0</v>
      </c>
      <c r="I68" s="193">
        <v>0</v>
      </c>
      <c r="J68" s="328">
        <v>0</v>
      </c>
      <c r="K68" s="311">
        <f t="shared" si="58"/>
        <v>150000</v>
      </c>
      <c r="L68" s="100">
        <f t="shared" ref="L68" si="61">SUM(J68:J68)</f>
        <v>0</v>
      </c>
      <c r="M68" s="100">
        <f t="shared" ref="M68" si="62">K68+L68</f>
        <v>150000</v>
      </c>
      <c r="N68" s="100">
        <f t="shared" si="60"/>
        <v>0</v>
      </c>
      <c r="O68" s="101">
        <f t="shared" si="56"/>
        <v>0</v>
      </c>
    </row>
    <row r="69" spans="1:15" x14ac:dyDescent="0.35">
      <c r="A69" s="15" t="s">
        <v>102</v>
      </c>
      <c r="B69" s="260">
        <v>1100000</v>
      </c>
      <c r="C69" s="255">
        <v>0</v>
      </c>
      <c r="D69" s="193">
        <f t="shared" ref="D69:D74" si="63">SUM(B69:C69)</f>
        <v>1100000</v>
      </c>
      <c r="E69" s="255">
        <v>0</v>
      </c>
      <c r="F69" s="100">
        <v>0</v>
      </c>
      <c r="G69" s="100">
        <v>0</v>
      </c>
      <c r="H69" s="100">
        <v>0</v>
      </c>
      <c r="I69" s="193">
        <v>0</v>
      </c>
      <c r="J69" s="328">
        <v>0</v>
      </c>
      <c r="K69" s="311">
        <f t="shared" si="58"/>
        <v>1100000</v>
      </c>
      <c r="L69" s="100">
        <f t="shared" ref="L69:L74" si="64">SUM(J69:J69)</f>
        <v>0</v>
      </c>
      <c r="M69" s="100">
        <f t="shared" ref="M69:M74" si="65">K69+L69</f>
        <v>1100000</v>
      </c>
      <c r="N69" s="100">
        <f t="shared" si="60"/>
        <v>0</v>
      </c>
      <c r="O69" s="101">
        <f t="shared" si="56"/>
        <v>0</v>
      </c>
    </row>
    <row r="70" spans="1:15" x14ac:dyDescent="0.35">
      <c r="A70" s="15" t="s">
        <v>103</v>
      </c>
      <c r="B70" s="260">
        <v>0</v>
      </c>
      <c r="C70" s="255">
        <v>0</v>
      </c>
      <c r="D70" s="193">
        <f t="shared" si="63"/>
        <v>0</v>
      </c>
      <c r="E70" s="255">
        <v>0</v>
      </c>
      <c r="F70" s="100">
        <v>0</v>
      </c>
      <c r="G70" s="100">
        <v>0</v>
      </c>
      <c r="H70" s="100">
        <v>0</v>
      </c>
      <c r="I70" s="193">
        <v>0</v>
      </c>
      <c r="J70" s="328">
        <v>0</v>
      </c>
      <c r="K70" s="311">
        <f t="shared" si="58"/>
        <v>0</v>
      </c>
      <c r="L70" s="100">
        <f t="shared" si="64"/>
        <v>0</v>
      </c>
      <c r="M70" s="100">
        <f t="shared" si="65"/>
        <v>0</v>
      </c>
      <c r="N70" s="100">
        <f t="shared" ref="N70" si="66">K70-B70</f>
        <v>0</v>
      </c>
      <c r="O70" s="101" t="s">
        <v>77</v>
      </c>
    </row>
    <row r="71" spans="1:15" x14ac:dyDescent="0.35">
      <c r="A71" s="15" t="s">
        <v>104</v>
      </c>
      <c r="B71" s="260">
        <v>0</v>
      </c>
      <c r="C71" s="255">
        <v>0</v>
      </c>
      <c r="D71" s="193">
        <f t="shared" si="63"/>
        <v>0</v>
      </c>
      <c r="E71" s="255">
        <v>0</v>
      </c>
      <c r="F71" s="100">
        <v>0</v>
      </c>
      <c r="G71" s="100">
        <v>0</v>
      </c>
      <c r="H71" s="100">
        <v>0</v>
      </c>
      <c r="I71" s="193">
        <v>0</v>
      </c>
      <c r="J71" s="328">
        <v>0</v>
      </c>
      <c r="K71" s="311">
        <f t="shared" si="58"/>
        <v>0</v>
      </c>
      <c r="L71" s="100">
        <f t="shared" ref="L71" si="67">SUM(J71:J71)</f>
        <v>0</v>
      </c>
      <c r="M71" s="100">
        <f t="shared" ref="M71" si="68">K71+L71</f>
        <v>0</v>
      </c>
      <c r="N71" s="100">
        <f t="shared" ref="N71" si="69">K71-B71</f>
        <v>0</v>
      </c>
      <c r="O71" s="101" t="s">
        <v>77</v>
      </c>
    </row>
    <row r="72" spans="1:15" x14ac:dyDescent="0.35">
      <c r="A72" s="15" t="s">
        <v>105</v>
      </c>
      <c r="B72" s="260">
        <v>0</v>
      </c>
      <c r="C72" s="255">
        <v>0</v>
      </c>
      <c r="D72" s="193">
        <f t="shared" si="63"/>
        <v>0</v>
      </c>
      <c r="E72" s="255">
        <v>0</v>
      </c>
      <c r="F72" s="100">
        <v>0</v>
      </c>
      <c r="G72" s="100" t="s">
        <v>170</v>
      </c>
      <c r="H72" s="100">
        <v>0</v>
      </c>
      <c r="I72" s="193">
        <v>0</v>
      </c>
      <c r="J72" s="328">
        <v>0</v>
      </c>
      <c r="K72" s="311">
        <f t="shared" si="58"/>
        <v>0</v>
      </c>
      <c r="L72" s="100">
        <f t="shared" si="64"/>
        <v>0</v>
      </c>
      <c r="M72" s="100">
        <f t="shared" si="65"/>
        <v>0</v>
      </c>
      <c r="N72" s="100">
        <f t="shared" si="60"/>
        <v>0</v>
      </c>
      <c r="O72" s="101" t="s">
        <v>77</v>
      </c>
    </row>
    <row r="73" spans="1:15" x14ac:dyDescent="0.35">
      <c r="A73" s="15" t="s">
        <v>106</v>
      </c>
      <c r="B73" s="260">
        <v>250000</v>
      </c>
      <c r="C73" s="255">
        <v>0</v>
      </c>
      <c r="D73" s="193">
        <f t="shared" si="63"/>
        <v>250000</v>
      </c>
      <c r="E73" s="255">
        <v>0</v>
      </c>
      <c r="F73" s="100">
        <v>0</v>
      </c>
      <c r="G73" s="100">
        <v>0</v>
      </c>
      <c r="H73" s="100">
        <v>0</v>
      </c>
      <c r="I73" s="193">
        <v>0</v>
      </c>
      <c r="J73" s="328">
        <v>0</v>
      </c>
      <c r="K73" s="311">
        <f t="shared" si="58"/>
        <v>250000</v>
      </c>
      <c r="L73" s="100">
        <f t="shared" si="64"/>
        <v>0</v>
      </c>
      <c r="M73" s="100">
        <f t="shared" si="65"/>
        <v>250000</v>
      </c>
      <c r="N73" s="100">
        <f t="shared" si="60"/>
        <v>0</v>
      </c>
      <c r="O73" s="101">
        <f t="shared" si="56"/>
        <v>0</v>
      </c>
    </row>
    <row r="74" spans="1:15" x14ac:dyDescent="0.35">
      <c r="A74" s="15" t="s">
        <v>107</v>
      </c>
      <c r="B74" s="260">
        <v>2035600</v>
      </c>
      <c r="C74" s="255">
        <v>0</v>
      </c>
      <c r="D74" s="193">
        <f t="shared" si="63"/>
        <v>2035600</v>
      </c>
      <c r="E74" s="255">
        <v>0</v>
      </c>
      <c r="F74" s="100">
        <v>0</v>
      </c>
      <c r="G74" s="100">
        <v>0</v>
      </c>
      <c r="H74" s="100">
        <v>0</v>
      </c>
      <c r="I74" s="193">
        <v>0</v>
      </c>
      <c r="J74" s="328">
        <v>0</v>
      </c>
      <c r="K74" s="311">
        <f t="shared" si="58"/>
        <v>2035600</v>
      </c>
      <c r="L74" s="100">
        <f t="shared" si="64"/>
        <v>0</v>
      </c>
      <c r="M74" s="100">
        <f t="shared" si="65"/>
        <v>2035600</v>
      </c>
      <c r="N74" s="100">
        <f t="shared" si="60"/>
        <v>0</v>
      </c>
      <c r="O74" s="101">
        <f t="shared" si="56"/>
        <v>0</v>
      </c>
    </row>
    <row r="75" spans="1:15" x14ac:dyDescent="0.35">
      <c r="A75" s="15" t="s">
        <v>108</v>
      </c>
      <c r="B75" s="260">
        <v>2000000</v>
      </c>
      <c r="C75" s="255">
        <v>0</v>
      </c>
      <c r="D75" s="193">
        <f>SUM(B75:C75)</f>
        <v>2000000</v>
      </c>
      <c r="E75" s="255">
        <v>0</v>
      </c>
      <c r="F75" s="100">
        <v>0</v>
      </c>
      <c r="G75" s="100">
        <v>0</v>
      </c>
      <c r="H75" s="100">
        <v>0</v>
      </c>
      <c r="I75" s="193">
        <v>0</v>
      </c>
      <c r="J75" s="328">
        <v>0</v>
      </c>
      <c r="K75" s="311">
        <f>SUM(D75,E75:I75)</f>
        <v>2000000</v>
      </c>
      <c r="L75" s="100">
        <f>SUM(J75)</f>
        <v>0</v>
      </c>
      <c r="M75" s="100">
        <f>K75+L75</f>
        <v>2000000</v>
      </c>
      <c r="N75" s="100">
        <f t="shared" si="60"/>
        <v>0</v>
      </c>
      <c r="O75" s="101">
        <f t="shared" si="56"/>
        <v>0</v>
      </c>
    </row>
    <row r="76" spans="1:15" x14ac:dyDescent="0.35">
      <c r="A76" s="15" t="s">
        <v>109</v>
      </c>
      <c r="B76" s="260">
        <v>0</v>
      </c>
      <c r="C76" s="255">
        <v>0</v>
      </c>
      <c r="D76" s="193">
        <f>SUM(B76:C76)</f>
        <v>0</v>
      </c>
      <c r="E76" s="255">
        <v>0</v>
      </c>
      <c r="F76" s="100">
        <v>0</v>
      </c>
      <c r="G76" s="100">
        <v>0</v>
      </c>
      <c r="H76" s="100"/>
      <c r="I76" s="193">
        <v>0</v>
      </c>
      <c r="J76" s="328">
        <v>10000000</v>
      </c>
      <c r="K76" s="311">
        <f t="shared" ref="K76:K79" si="70">SUM(D76,E76:I76)</f>
        <v>0</v>
      </c>
      <c r="L76" s="100">
        <f>SUM(J76)</f>
        <v>10000000</v>
      </c>
      <c r="M76" s="100">
        <f t="shared" ref="M76:M79" si="71">K76+L76</f>
        <v>10000000</v>
      </c>
      <c r="N76" s="100">
        <f t="shared" si="60"/>
        <v>0</v>
      </c>
      <c r="O76" s="101" t="e">
        <f t="shared" si="56"/>
        <v>#DIV/0!</v>
      </c>
    </row>
    <row r="77" spans="1:15" x14ac:dyDescent="0.35">
      <c r="A77" s="15" t="s">
        <v>110</v>
      </c>
      <c r="B77" s="260">
        <v>0</v>
      </c>
      <c r="C77" s="255">
        <v>0</v>
      </c>
      <c r="D77" s="193">
        <f t="shared" ref="D77:D79" si="72">SUM(B77:C77)</f>
        <v>0</v>
      </c>
      <c r="E77" s="255">
        <v>0</v>
      </c>
      <c r="F77" s="100">
        <v>0</v>
      </c>
      <c r="G77" s="100">
        <v>0</v>
      </c>
      <c r="H77" s="100"/>
      <c r="I77" s="193">
        <v>0</v>
      </c>
      <c r="J77" s="328">
        <v>1000000</v>
      </c>
      <c r="K77" s="311">
        <f t="shared" si="70"/>
        <v>0</v>
      </c>
      <c r="L77" s="100">
        <f>J77</f>
        <v>1000000</v>
      </c>
      <c r="M77" s="100">
        <f t="shared" si="71"/>
        <v>1000000</v>
      </c>
      <c r="N77" s="100">
        <f t="shared" si="60"/>
        <v>0</v>
      </c>
      <c r="O77" s="101" t="e">
        <f t="shared" si="56"/>
        <v>#DIV/0!</v>
      </c>
    </row>
    <row r="78" spans="1:15" x14ac:dyDescent="0.35">
      <c r="A78" s="15" t="s">
        <v>172</v>
      </c>
      <c r="B78" s="260">
        <v>0</v>
      </c>
      <c r="C78" s="255">
        <v>0</v>
      </c>
      <c r="D78" s="193">
        <f t="shared" si="72"/>
        <v>0</v>
      </c>
      <c r="E78" s="255">
        <v>0</v>
      </c>
      <c r="F78" s="100">
        <v>0</v>
      </c>
      <c r="G78" s="100">
        <v>0</v>
      </c>
      <c r="H78" s="100"/>
      <c r="I78" s="193">
        <v>0</v>
      </c>
      <c r="J78" s="328">
        <v>150000</v>
      </c>
      <c r="K78" s="311">
        <f t="shared" si="70"/>
        <v>0</v>
      </c>
      <c r="L78" s="100">
        <f>J78</f>
        <v>150000</v>
      </c>
      <c r="M78" s="100">
        <f t="shared" si="71"/>
        <v>150000</v>
      </c>
      <c r="N78" s="100">
        <f t="shared" si="60"/>
        <v>0</v>
      </c>
      <c r="O78" s="101" t="e">
        <f t="shared" si="56"/>
        <v>#DIV/0!</v>
      </c>
    </row>
    <row r="79" spans="1:15" x14ac:dyDescent="0.35">
      <c r="A79" s="16" t="s">
        <v>171</v>
      </c>
      <c r="B79" s="260">
        <v>0</v>
      </c>
      <c r="C79" s="255">
        <v>0</v>
      </c>
      <c r="D79" s="193">
        <f t="shared" si="72"/>
        <v>0</v>
      </c>
      <c r="E79" s="255">
        <v>0</v>
      </c>
      <c r="F79" s="100">
        <v>0</v>
      </c>
      <c r="G79" s="100">
        <v>0</v>
      </c>
      <c r="H79" s="100"/>
      <c r="I79" s="193">
        <v>0</v>
      </c>
      <c r="J79" s="324">
        <v>512700</v>
      </c>
      <c r="K79" s="311">
        <f t="shared" si="70"/>
        <v>0</v>
      </c>
      <c r="L79" s="100">
        <f>J79</f>
        <v>512700</v>
      </c>
      <c r="M79" s="100">
        <f t="shared" si="71"/>
        <v>512700</v>
      </c>
      <c r="N79" s="100">
        <f t="shared" si="60"/>
        <v>0</v>
      </c>
      <c r="O79" s="101" t="e">
        <f t="shared" si="56"/>
        <v>#DIV/0!</v>
      </c>
    </row>
    <row r="80" spans="1:15" x14ac:dyDescent="0.35">
      <c r="A80" s="7" t="s">
        <v>111</v>
      </c>
      <c r="B80" s="79">
        <f t="shared" ref="B80:N80" si="73">SUM(B60:B66)</f>
        <v>54748100</v>
      </c>
      <c r="C80" s="48">
        <f t="shared" si="73"/>
        <v>-220100</v>
      </c>
      <c r="D80" s="79">
        <f t="shared" si="73"/>
        <v>54528000</v>
      </c>
      <c r="E80" s="48">
        <f t="shared" si="73"/>
        <v>507800</v>
      </c>
      <c r="F80" s="47">
        <f t="shared" si="73"/>
        <v>0</v>
      </c>
      <c r="G80" s="47">
        <f t="shared" si="73"/>
        <v>0</v>
      </c>
      <c r="H80" s="47">
        <f t="shared" si="73"/>
        <v>0</v>
      </c>
      <c r="I80" s="79">
        <f t="shared" si="73"/>
        <v>-6500</v>
      </c>
      <c r="J80" s="326">
        <f t="shared" si="73"/>
        <v>11662700</v>
      </c>
      <c r="K80" s="309">
        <f t="shared" si="73"/>
        <v>55029300</v>
      </c>
      <c r="L80" s="47">
        <f t="shared" si="73"/>
        <v>11662700</v>
      </c>
      <c r="M80" s="47">
        <f t="shared" si="73"/>
        <v>66692000</v>
      </c>
      <c r="N80" s="47">
        <f t="shared" si="73"/>
        <v>281200</v>
      </c>
      <c r="O80" s="94">
        <f>(K80-B80)/B80</f>
        <v>5.1362513036982103E-3</v>
      </c>
    </row>
    <row r="81" spans="1:16" x14ac:dyDescent="0.35">
      <c r="A81" s="3"/>
      <c r="B81" s="189"/>
      <c r="C81" s="3"/>
      <c r="D81" s="189"/>
      <c r="E81" s="3"/>
      <c r="F81" s="66"/>
      <c r="G81" s="66"/>
      <c r="H81" s="66"/>
      <c r="I81" s="189"/>
      <c r="J81" s="321"/>
      <c r="K81" s="307"/>
      <c r="L81" s="66"/>
      <c r="M81" s="66"/>
      <c r="N81" s="66"/>
      <c r="O81" s="90"/>
    </row>
    <row r="82" spans="1:16" ht="18.75" thickBot="1" x14ac:dyDescent="0.4">
      <c r="A82" s="19" t="s">
        <v>112</v>
      </c>
      <c r="B82" s="81">
        <f>B57+B80</f>
        <v>2318894100</v>
      </c>
      <c r="C82" s="52">
        <f t="shared" ref="C82:L82" si="74">C57+C80</f>
        <v>-298200</v>
      </c>
      <c r="D82" s="81">
        <f t="shared" si="74"/>
        <v>2318595900</v>
      </c>
      <c r="E82" s="52">
        <f>E57+E80</f>
        <v>19175300</v>
      </c>
      <c r="F82" s="67">
        <f>F57+F80</f>
        <v>49872700</v>
      </c>
      <c r="G82" s="67">
        <f t="shared" si="74"/>
        <v>18404900</v>
      </c>
      <c r="H82" s="67">
        <f t="shared" si="74"/>
        <v>0</v>
      </c>
      <c r="I82" s="81">
        <f t="shared" si="74"/>
        <v>18727400</v>
      </c>
      <c r="J82" s="331">
        <f t="shared" si="74"/>
        <v>41570900</v>
      </c>
      <c r="K82" s="313">
        <f>K57+K80</f>
        <v>2424776200</v>
      </c>
      <c r="L82" s="67">
        <f t="shared" si="74"/>
        <v>41570900</v>
      </c>
      <c r="M82" s="67">
        <f>M57+M7</f>
        <v>2469227600</v>
      </c>
      <c r="N82" s="67">
        <f>N57+N80</f>
        <v>105882100</v>
      </c>
      <c r="O82" s="109">
        <f>(K82-B82)/B82</f>
        <v>4.5660601749773738E-2</v>
      </c>
      <c r="P82" s="22"/>
    </row>
    <row r="83" spans="1:16" ht="20.25" customHeight="1" thickBot="1" x14ac:dyDescent="0.4">
      <c r="A83" s="20"/>
      <c r="B83" s="263"/>
      <c r="C83" s="264"/>
      <c r="D83" s="265"/>
      <c r="E83" s="266"/>
      <c r="F83" s="20"/>
      <c r="G83" s="20"/>
      <c r="H83" s="20"/>
      <c r="I83" s="20"/>
      <c r="J83" s="332"/>
      <c r="K83" s="20"/>
      <c r="L83" s="20"/>
      <c r="M83" s="110"/>
      <c r="N83" s="20"/>
      <c r="O83" s="20"/>
      <c r="P83" s="267"/>
    </row>
    <row r="84" spans="1:16" ht="18.75" thickBot="1" x14ac:dyDescent="0.4">
      <c r="A84" s="21" t="s">
        <v>113</v>
      </c>
      <c r="B84" s="82">
        <v>50000000</v>
      </c>
      <c r="C84" s="82">
        <v>0</v>
      </c>
      <c r="D84" s="102">
        <f>SUM(B84:C84)</f>
        <v>50000000</v>
      </c>
      <c r="E84" s="82">
        <v>0</v>
      </c>
      <c r="F84" s="102">
        <v>0</v>
      </c>
      <c r="G84" s="102">
        <v>0</v>
      </c>
      <c r="H84" s="102">
        <v>0</v>
      </c>
      <c r="I84" s="298" t="s">
        <v>173</v>
      </c>
      <c r="J84" s="333" t="s">
        <v>173</v>
      </c>
      <c r="K84" s="103">
        <f>SUM(D84,E84:I84)</f>
        <v>50000000</v>
      </c>
      <c r="L84" s="102">
        <f>SUM(J84:J84)</f>
        <v>0</v>
      </c>
      <c r="M84" s="104">
        <f t="shared" ref="M84" si="75">K84+L84</f>
        <v>50000000</v>
      </c>
      <c r="N84" s="104">
        <f>K84-B84</f>
        <v>0</v>
      </c>
      <c r="O84" s="105">
        <f>(K84-B84)/B84</f>
        <v>0</v>
      </c>
      <c r="P84" s="22"/>
    </row>
    <row r="85" spans="1:16" ht="20.25" hidden="1" customHeight="1" thickBot="1" x14ac:dyDescent="0.4">
      <c r="A85" s="20"/>
      <c r="B85" s="263">
        <v>463318000</v>
      </c>
      <c r="C85" s="264"/>
      <c r="D85" s="265"/>
      <c r="E85" s="266"/>
      <c r="F85" s="20"/>
      <c r="G85" s="20"/>
      <c r="H85" s="20"/>
      <c r="I85" s="20"/>
      <c r="J85" s="332"/>
      <c r="K85" s="20"/>
      <c r="L85" s="20"/>
      <c r="M85" s="110"/>
      <c r="N85" s="20"/>
      <c r="O85" s="20"/>
      <c r="P85" s="268"/>
    </row>
    <row r="86" spans="1:16" ht="18.75" hidden="1" thickBot="1" x14ac:dyDescent="0.4">
      <c r="A86" s="21" t="s">
        <v>114</v>
      </c>
      <c r="B86" s="82">
        <v>0</v>
      </c>
      <c r="C86" s="82">
        <v>0</v>
      </c>
      <c r="D86" s="102">
        <f>SUM(B86:C86)</f>
        <v>0</v>
      </c>
      <c r="E86" s="82">
        <v>0</v>
      </c>
      <c r="F86" s="102">
        <v>0</v>
      </c>
      <c r="G86" s="102">
        <v>0</v>
      </c>
      <c r="H86" s="102">
        <v>0</v>
      </c>
      <c r="I86" s="102">
        <v>0</v>
      </c>
      <c r="J86" s="334">
        <v>0</v>
      </c>
      <c r="K86" s="103">
        <f>SUM(D86,E86:I86)</f>
        <v>0</v>
      </c>
      <c r="L86" s="102">
        <f>SUM(J86:J86)</f>
        <v>0</v>
      </c>
      <c r="M86" s="104">
        <f t="shared" ref="M86" si="76">K86+L86</f>
        <v>0</v>
      </c>
      <c r="N86" s="104">
        <f>K86-B86</f>
        <v>0</v>
      </c>
      <c r="O86" s="105" t="s">
        <v>77</v>
      </c>
      <c r="P86" s="22"/>
    </row>
    <row r="87" spans="1:16" ht="20.25" customHeight="1" thickBot="1" x14ac:dyDescent="0.4">
      <c r="A87" s="20"/>
      <c r="C87" s="263"/>
      <c r="D87" s="263"/>
      <c r="E87" s="266"/>
      <c r="F87" s="20"/>
      <c r="G87" s="20"/>
      <c r="H87" s="20"/>
      <c r="I87" s="20"/>
      <c r="J87" s="332"/>
      <c r="K87" s="20"/>
      <c r="L87" s="20"/>
      <c r="M87" s="110"/>
      <c r="N87" s="20"/>
      <c r="O87" s="20"/>
      <c r="P87" s="269"/>
    </row>
    <row r="88" spans="1:16" ht="18.75" thickBot="1" x14ac:dyDescent="0.4">
      <c r="A88" s="115" t="s">
        <v>115</v>
      </c>
      <c r="B88" s="116">
        <v>463318000</v>
      </c>
      <c r="C88" s="116">
        <v>29382000</v>
      </c>
      <c r="D88" s="117">
        <f>SUM(B88:C88)</f>
        <v>492700000</v>
      </c>
      <c r="E88" s="116">
        <v>12100000</v>
      </c>
      <c r="F88" s="117">
        <v>0</v>
      </c>
      <c r="G88" s="117">
        <v>0</v>
      </c>
      <c r="H88" s="117">
        <v>0</v>
      </c>
      <c r="I88" s="299" t="s">
        <v>173</v>
      </c>
      <c r="J88" s="227" t="s">
        <v>173</v>
      </c>
      <c r="K88" s="118">
        <f>SUM(D88,E88:I88)</f>
        <v>504800000</v>
      </c>
      <c r="L88" s="117">
        <f>SUM(J88:J88)</f>
        <v>0</v>
      </c>
      <c r="M88" s="119">
        <f t="shared" ref="M88" si="77">K88+L88</f>
        <v>504800000</v>
      </c>
      <c r="N88" s="119">
        <f>K88-B88</f>
        <v>41482000</v>
      </c>
      <c r="O88" s="120">
        <f>(K88-B88)/B88</f>
        <v>8.9532459347575533E-2</v>
      </c>
      <c r="P88" s="22"/>
    </row>
    <row r="89" spans="1:16" ht="18.75" thickBot="1" x14ac:dyDescent="0.4">
      <c r="D89" s="11"/>
      <c r="E89" s="8"/>
      <c r="F89" s="11"/>
      <c r="G89" s="11"/>
      <c r="H89" s="11"/>
      <c r="I89" s="300"/>
      <c r="J89" s="321"/>
      <c r="K89" s="74"/>
      <c r="L89" s="74"/>
      <c r="M89" s="111"/>
      <c r="N89" s="74"/>
      <c r="O89" s="11"/>
      <c r="P89" s="112"/>
    </row>
    <row r="90" spans="1:16" ht="18.75" thickBot="1" x14ac:dyDescent="0.4">
      <c r="A90" s="21" t="s">
        <v>116</v>
      </c>
      <c r="B90" s="121">
        <f>B82+B84+B86+B88</f>
        <v>2832212100</v>
      </c>
      <c r="C90" s="82">
        <f t="shared" ref="C90:M90" si="78">C82+C84+C86+C88</f>
        <v>29083800</v>
      </c>
      <c r="D90" s="102">
        <f t="shared" si="78"/>
        <v>2861295900</v>
      </c>
      <c r="E90" s="82">
        <f t="shared" si="78"/>
        <v>31275300</v>
      </c>
      <c r="F90" s="102">
        <f t="shared" si="78"/>
        <v>49872700</v>
      </c>
      <c r="G90" s="102">
        <f t="shared" si="78"/>
        <v>18404900</v>
      </c>
      <c r="H90" s="102">
        <f t="shared" si="78"/>
        <v>0</v>
      </c>
      <c r="I90" s="102">
        <f t="shared" si="78"/>
        <v>18727400</v>
      </c>
      <c r="J90" s="334">
        <f t="shared" si="78"/>
        <v>41570900</v>
      </c>
      <c r="K90" s="103">
        <f t="shared" si="78"/>
        <v>2979576200</v>
      </c>
      <c r="L90" s="102">
        <f t="shared" si="78"/>
        <v>41570900</v>
      </c>
      <c r="M90" s="104">
        <f t="shared" si="78"/>
        <v>3024027600</v>
      </c>
      <c r="N90" s="104">
        <f>N82+N84+N86+N88</f>
        <v>147364100</v>
      </c>
      <c r="O90" s="105">
        <f>(K90-B90)/B90</f>
        <v>5.2031449198313928E-2</v>
      </c>
      <c r="P90" s="112"/>
    </row>
    <row r="91" spans="1:16" x14ac:dyDescent="0.35">
      <c r="B91" s="270"/>
      <c r="C91" s="11"/>
      <c r="D91" s="11"/>
      <c r="E91" s="11"/>
      <c r="F91" s="11"/>
      <c r="G91" s="11"/>
      <c r="H91" s="11"/>
      <c r="I91" s="11"/>
      <c r="J91" s="11"/>
      <c r="K91" s="11"/>
      <c r="L91" s="74"/>
      <c r="M91" s="111"/>
      <c r="N91" s="74"/>
      <c r="O91" s="11"/>
    </row>
    <row r="92" spans="1:16" x14ac:dyDescent="0.35">
      <c r="B92" s="74"/>
      <c r="C92" s="11"/>
      <c r="D92" s="74"/>
      <c r="E92" s="11"/>
      <c r="F92" s="11"/>
      <c r="G92" s="11"/>
      <c r="H92" s="11"/>
      <c r="I92" s="11"/>
      <c r="J92" s="11"/>
      <c r="K92" s="74"/>
      <c r="L92" s="125"/>
      <c r="M92" s="111"/>
      <c r="N92" s="74"/>
      <c r="O92" s="11"/>
    </row>
    <row r="93" spans="1:16" x14ac:dyDescent="0.35">
      <c r="B93" s="270"/>
      <c r="C93" s="11"/>
      <c r="D93" s="271"/>
      <c r="E93" s="11"/>
      <c r="F93" s="272"/>
      <c r="G93" s="272"/>
      <c r="H93" s="11"/>
      <c r="I93" s="11"/>
      <c r="J93" s="11"/>
      <c r="K93" s="126"/>
      <c r="L93" s="74"/>
      <c r="M93" s="111"/>
      <c r="N93" s="74"/>
      <c r="O93" s="11"/>
      <c r="P93" s="112"/>
    </row>
    <row r="94" spans="1:16" x14ac:dyDescent="0.35">
      <c r="B94" s="270"/>
      <c r="C94" s="11"/>
      <c r="D94" s="11"/>
      <c r="E94" s="11"/>
      <c r="F94" s="273"/>
      <c r="G94" s="273"/>
      <c r="H94" s="11"/>
      <c r="I94" s="11"/>
      <c r="J94" s="74"/>
      <c r="K94" s="126"/>
      <c r="L94" s="74"/>
      <c r="M94" s="111"/>
      <c r="N94" s="74"/>
      <c r="O94" s="11"/>
      <c r="P94" s="112"/>
    </row>
    <row r="95" spans="1:16" x14ac:dyDescent="0.35">
      <c r="J95" s="22"/>
      <c r="M95" s="114"/>
      <c r="N95" s="22"/>
    </row>
    <row r="96" spans="1:16" x14ac:dyDescent="0.35">
      <c r="M96" s="22"/>
      <c r="N96" s="22"/>
    </row>
    <row r="99" spans="3:3" x14ac:dyDescent="0.35">
      <c r="C99" s="114"/>
    </row>
  </sheetData>
  <mergeCells count="4">
    <mergeCell ref="A1:O1"/>
    <mergeCell ref="C3:D3"/>
    <mergeCell ref="K3:M3"/>
    <mergeCell ref="E3:I3"/>
  </mergeCells>
  <phoneticPr fontId="20" type="noConversion"/>
  <printOptions horizontalCentered="1"/>
  <pageMargins left="0.25" right="0.25" top="0.25" bottom="0.25" header="0.5" footer="0.5"/>
  <pageSetup paperSize="17" scale="48" orientation="landscape" r:id="rId1"/>
  <headerFooter alignWithMargins="0"/>
  <ignoredErrors>
    <ignoredError sqref="C22 L22:N22 K17:K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7BAB-48D6-4ADB-87A4-6E034144963B}">
  <sheetPr>
    <tabColor rgb="FFC00000"/>
  </sheetPr>
  <dimension ref="A1:T95"/>
  <sheetViews>
    <sheetView zoomScale="55" zoomScaleNormal="55" workbookViewId="0">
      <selection activeCell="C15" sqref="C15"/>
    </sheetView>
  </sheetViews>
  <sheetFormatPr defaultRowHeight="12.75" x14ac:dyDescent="0.2"/>
  <cols>
    <col min="1" max="1" width="63.140625" customWidth="1"/>
    <col min="2" max="2" width="30.85546875" customWidth="1"/>
    <col min="3" max="3" width="14.28515625" style="183" customWidth="1"/>
    <col min="4" max="4" width="13.140625" customWidth="1"/>
    <col min="12" max="12" width="25.5703125" bestFit="1" customWidth="1"/>
    <col min="13" max="13" width="15.140625" customWidth="1"/>
    <col min="14" max="14" width="15.42578125" customWidth="1"/>
    <col min="15" max="15" width="15.140625" bestFit="1" customWidth="1"/>
    <col min="17" max="17" width="11.7109375" bestFit="1" customWidth="1"/>
    <col min="19" max="20" width="15.140625" bestFit="1" customWidth="1"/>
  </cols>
  <sheetData>
    <row r="1" spans="1:20" ht="22.5" x14ac:dyDescent="0.4">
      <c r="A1" s="220" t="str">
        <f>'2025-26 Form Distr'!A1:P1</f>
        <v>2025-26 Legislative Action</v>
      </c>
    </row>
    <row r="2" spans="1:20" ht="18.75" thickBot="1" x14ac:dyDescent="0.4">
      <c r="A2" s="1"/>
      <c r="B2" t="s">
        <v>117</v>
      </c>
      <c r="C2" s="183" t="s">
        <v>118</v>
      </c>
      <c r="D2" t="s">
        <v>119</v>
      </c>
      <c r="F2" s="184">
        <v>2.63E-2</v>
      </c>
    </row>
    <row r="3" spans="1:20" ht="15" x14ac:dyDescent="0.3">
      <c r="A3" s="2"/>
    </row>
    <row r="4" spans="1:20" ht="15" x14ac:dyDescent="0.3">
      <c r="A4" s="3"/>
    </row>
    <row r="5" spans="1:20" ht="15" x14ac:dyDescent="0.3">
      <c r="A5" s="4" t="s">
        <v>43</v>
      </c>
    </row>
    <row r="6" spans="1:20" ht="15" x14ac:dyDescent="0.3">
      <c r="A6" s="5" t="s">
        <v>46</v>
      </c>
      <c r="L6" s="129"/>
      <c r="M6" s="130" t="s">
        <v>120</v>
      </c>
      <c r="N6" s="130" t="s">
        <v>121</v>
      </c>
      <c r="O6" s="130" t="s">
        <v>122</v>
      </c>
      <c r="P6" s="131"/>
      <c r="Q6" s="130" t="s">
        <v>123</v>
      </c>
      <c r="R6" s="132"/>
      <c r="S6" s="133" t="s">
        <v>124</v>
      </c>
      <c r="T6" s="134" t="s">
        <v>125</v>
      </c>
    </row>
    <row r="7" spans="1:20" ht="15" x14ac:dyDescent="0.3">
      <c r="A7" s="3" t="s">
        <v>47</v>
      </c>
      <c r="B7" s="128">
        <f>'2025-26 SPU Distr'!F7</f>
        <v>1711000</v>
      </c>
      <c r="C7" s="183">
        <f>N7*F2</f>
        <v>17318.55</v>
      </c>
      <c r="D7" s="160">
        <f t="shared" ref="D7:D30" si="0">B7-C7</f>
        <v>1693681.45</v>
      </c>
      <c r="L7" s="129" t="s">
        <v>47</v>
      </c>
      <c r="M7" s="136">
        <v>658500</v>
      </c>
      <c r="N7" s="136">
        <v>658500</v>
      </c>
      <c r="O7" s="137">
        <v>0</v>
      </c>
      <c r="P7" s="129"/>
      <c r="Q7" s="136">
        <v>0</v>
      </c>
      <c r="R7" s="129"/>
      <c r="S7" s="139">
        <v>658500</v>
      </c>
      <c r="T7" s="141">
        <v>658500</v>
      </c>
    </row>
    <row r="8" spans="1:20" ht="15" x14ac:dyDescent="0.3">
      <c r="A8" s="3" t="s">
        <v>48</v>
      </c>
      <c r="B8" s="128">
        <f>'2025-26 SPU Distr'!F8</f>
        <v>454900</v>
      </c>
      <c r="C8" s="183">
        <f>N8*F2</f>
        <v>5249.4800000000005</v>
      </c>
      <c r="D8" s="160">
        <f t="shared" si="0"/>
        <v>449650.52</v>
      </c>
      <c r="L8" s="129" t="s">
        <v>48</v>
      </c>
      <c r="M8" s="142">
        <v>199600</v>
      </c>
      <c r="N8" s="142">
        <v>199600</v>
      </c>
      <c r="O8" s="129" t="s">
        <v>126</v>
      </c>
      <c r="P8" s="129"/>
      <c r="Q8" s="135" t="s">
        <v>127</v>
      </c>
      <c r="R8" s="129"/>
      <c r="S8" s="143">
        <v>199600</v>
      </c>
      <c r="T8" s="144">
        <v>199600</v>
      </c>
    </row>
    <row r="9" spans="1:20" ht="15" x14ac:dyDescent="0.3">
      <c r="A9" s="3" t="s">
        <v>49</v>
      </c>
      <c r="B9" s="128">
        <f>'2025-26 SPU Distr'!F9</f>
        <v>163400</v>
      </c>
      <c r="C9" s="183">
        <f>N9*F2</f>
        <v>1633.23</v>
      </c>
      <c r="D9" s="160">
        <f t="shared" si="0"/>
        <v>161766.76999999999</v>
      </c>
      <c r="L9" s="129" t="s">
        <v>128</v>
      </c>
      <c r="M9" s="142">
        <v>62100</v>
      </c>
      <c r="N9" s="142">
        <v>62100</v>
      </c>
      <c r="O9" s="129" t="s">
        <v>126</v>
      </c>
      <c r="P9" s="129"/>
      <c r="Q9" s="135" t="s">
        <v>127</v>
      </c>
      <c r="R9" s="129"/>
      <c r="S9" s="143">
        <v>62100</v>
      </c>
      <c r="T9" s="144">
        <v>62100</v>
      </c>
    </row>
    <row r="10" spans="1:20" ht="15" x14ac:dyDescent="0.3">
      <c r="A10" s="12" t="s">
        <v>50</v>
      </c>
      <c r="B10" s="128">
        <f>'2025-26 SPU Distr'!F10</f>
        <v>1275000</v>
      </c>
      <c r="C10" s="183">
        <f>N11*F2</f>
        <v>13841.69</v>
      </c>
      <c r="D10" s="160">
        <f t="shared" si="0"/>
        <v>1261158.31</v>
      </c>
      <c r="L10" s="129" t="s">
        <v>51</v>
      </c>
      <c r="M10" s="142">
        <v>2354700</v>
      </c>
      <c r="N10" s="142">
        <v>2354700</v>
      </c>
      <c r="O10" s="129" t="s">
        <v>126</v>
      </c>
      <c r="P10" s="129"/>
      <c r="Q10" s="142">
        <v>8800</v>
      </c>
      <c r="R10" s="129"/>
      <c r="S10" s="143">
        <v>2363500</v>
      </c>
      <c r="T10" s="144">
        <v>2363500</v>
      </c>
    </row>
    <row r="11" spans="1:20" ht="15" x14ac:dyDescent="0.3">
      <c r="A11" s="4" t="s">
        <v>51</v>
      </c>
      <c r="B11" s="128">
        <f>'2025-26 SPU Distr'!F11</f>
        <v>6195500</v>
      </c>
      <c r="C11" s="183">
        <f>N10*F2</f>
        <v>61928.61</v>
      </c>
      <c r="D11" s="160">
        <f t="shared" si="0"/>
        <v>6133571.3899999997</v>
      </c>
      <c r="L11" s="129" t="s">
        <v>129</v>
      </c>
      <c r="M11" s="142">
        <v>526300</v>
      </c>
      <c r="N11" s="142">
        <v>526300</v>
      </c>
      <c r="O11" s="129" t="s">
        <v>126</v>
      </c>
      <c r="P11" s="129"/>
      <c r="Q11" s="142">
        <v>2400</v>
      </c>
      <c r="R11" s="129"/>
      <c r="S11" s="143">
        <v>528700</v>
      </c>
      <c r="T11" s="144">
        <v>528700</v>
      </c>
    </row>
    <row r="12" spans="1:20" ht="15" x14ac:dyDescent="0.3">
      <c r="A12" s="7" t="s">
        <v>32</v>
      </c>
      <c r="B12" s="128">
        <f>'2025-26 SPU Distr'!F12</f>
        <v>9799800</v>
      </c>
      <c r="C12" s="183">
        <f>SUM(C7:C11)</f>
        <v>99971.56</v>
      </c>
      <c r="D12" s="160">
        <f t="shared" si="0"/>
        <v>9699828.4399999995</v>
      </c>
      <c r="L12" s="145" t="s">
        <v>130</v>
      </c>
      <c r="M12" s="146">
        <v>3801200</v>
      </c>
      <c r="N12" s="146">
        <v>3801200</v>
      </c>
      <c r="O12" s="146">
        <v>0</v>
      </c>
      <c r="P12" s="11"/>
      <c r="Q12" s="146">
        <v>11200</v>
      </c>
      <c r="R12" s="129"/>
      <c r="S12" s="147">
        <v>3812400</v>
      </c>
      <c r="T12" s="148">
        <v>3812400</v>
      </c>
    </row>
    <row r="13" spans="1:20" ht="15" x14ac:dyDescent="0.3">
      <c r="A13" s="7"/>
      <c r="B13" s="128"/>
      <c r="D13" s="160"/>
      <c r="L13" s="129"/>
      <c r="M13" s="149"/>
      <c r="N13" s="149"/>
      <c r="O13" s="129"/>
      <c r="P13" s="129"/>
      <c r="Q13" s="123"/>
      <c r="R13" s="129"/>
      <c r="S13" s="138" t="s">
        <v>131</v>
      </c>
      <c r="T13" s="140" t="s">
        <v>131</v>
      </c>
    </row>
    <row r="14" spans="1:20" ht="15" x14ac:dyDescent="0.3">
      <c r="A14" s="5" t="s">
        <v>52</v>
      </c>
      <c r="B14" s="128"/>
      <c r="D14" s="160"/>
      <c r="L14" s="129" t="s">
        <v>132</v>
      </c>
      <c r="M14" s="136">
        <v>347800</v>
      </c>
      <c r="N14" s="136">
        <v>347800</v>
      </c>
      <c r="O14" s="137">
        <v>0</v>
      </c>
      <c r="P14" s="129"/>
      <c r="Q14" s="136">
        <v>0</v>
      </c>
      <c r="R14" s="129"/>
      <c r="S14" s="139">
        <v>347800</v>
      </c>
      <c r="T14" s="141">
        <v>347800</v>
      </c>
    </row>
    <row r="15" spans="1:20" ht="15" x14ac:dyDescent="0.3">
      <c r="A15" s="3" t="s">
        <v>53</v>
      </c>
      <c r="B15" s="128">
        <f>'2025-26 SPU Distr'!F15</f>
        <v>908800</v>
      </c>
      <c r="C15" s="183">
        <f>N14*F2</f>
        <v>9147.14</v>
      </c>
      <c r="D15" s="160">
        <f t="shared" si="0"/>
        <v>899652.86</v>
      </c>
      <c r="L15" s="129" t="s">
        <v>133</v>
      </c>
      <c r="M15" s="142">
        <v>8900</v>
      </c>
      <c r="N15" s="142">
        <v>8900</v>
      </c>
      <c r="O15" s="129" t="s">
        <v>126</v>
      </c>
      <c r="P15" s="129"/>
      <c r="Q15" s="135" t="s">
        <v>127</v>
      </c>
      <c r="R15" s="129"/>
      <c r="S15" s="143">
        <v>8900</v>
      </c>
      <c r="T15" s="144">
        <v>8900</v>
      </c>
    </row>
    <row r="16" spans="1:20" ht="15" x14ac:dyDescent="0.3">
      <c r="A16" s="3" t="s">
        <v>54</v>
      </c>
      <c r="B16" s="128">
        <f>'2025-26 SPU Distr'!F16</f>
        <v>1370200</v>
      </c>
      <c r="C16" s="183">
        <f>N22*F2</f>
        <v>14599.130000000001</v>
      </c>
      <c r="D16" s="160">
        <f t="shared" si="0"/>
        <v>1355600.87</v>
      </c>
      <c r="L16" s="129" t="s">
        <v>134</v>
      </c>
      <c r="M16" s="142">
        <v>57900</v>
      </c>
      <c r="N16" s="142">
        <v>57900</v>
      </c>
      <c r="O16" s="129" t="s">
        <v>126</v>
      </c>
      <c r="P16" s="129"/>
      <c r="Q16" s="135" t="s">
        <v>127</v>
      </c>
      <c r="R16" s="129"/>
      <c r="S16" s="143">
        <v>57900</v>
      </c>
      <c r="T16" s="144">
        <v>57900</v>
      </c>
    </row>
    <row r="17" spans="1:20" ht="15" x14ac:dyDescent="0.3">
      <c r="A17" s="3" t="s">
        <v>55</v>
      </c>
      <c r="B17" s="128">
        <f>'2025-26 SPU Distr'!F17</f>
        <v>23200</v>
      </c>
      <c r="C17" s="183">
        <f>N15*F2</f>
        <v>234.07</v>
      </c>
      <c r="D17" s="160">
        <f t="shared" si="0"/>
        <v>22965.93</v>
      </c>
      <c r="L17" s="129" t="s">
        <v>135</v>
      </c>
      <c r="M17" s="142">
        <v>15100</v>
      </c>
      <c r="N17" s="142">
        <v>15100</v>
      </c>
      <c r="O17" s="129" t="s">
        <v>126</v>
      </c>
      <c r="P17" s="129"/>
      <c r="Q17" s="135" t="s">
        <v>127</v>
      </c>
      <c r="R17" s="129"/>
      <c r="S17" s="143">
        <v>15100</v>
      </c>
      <c r="T17" s="144">
        <v>15100</v>
      </c>
    </row>
    <row r="18" spans="1:20" ht="15" x14ac:dyDescent="0.3">
      <c r="A18" s="3" t="s">
        <v>56</v>
      </c>
      <c r="B18" s="128">
        <f>'2025-26 SPU Distr'!F18</f>
        <v>10500</v>
      </c>
      <c r="C18" s="183">
        <f>N17*F2</f>
        <v>397.13</v>
      </c>
      <c r="D18" s="160">
        <f>B18-C18</f>
        <v>10102.870000000001</v>
      </c>
      <c r="L18" s="129" t="s">
        <v>136</v>
      </c>
      <c r="M18" s="142">
        <v>4900</v>
      </c>
      <c r="N18" s="142">
        <v>4900</v>
      </c>
      <c r="O18" s="129" t="s">
        <v>126</v>
      </c>
      <c r="P18" s="129"/>
      <c r="Q18" s="135" t="s">
        <v>127</v>
      </c>
      <c r="R18" s="129"/>
      <c r="S18" s="143">
        <v>4900</v>
      </c>
      <c r="T18" s="144">
        <v>4900</v>
      </c>
    </row>
    <row r="19" spans="1:20" ht="15" x14ac:dyDescent="0.3">
      <c r="A19" s="3" t="s">
        <v>57</v>
      </c>
      <c r="B19" s="128">
        <f>'2025-26 SPU Distr'!F19</f>
        <v>46000</v>
      </c>
      <c r="C19" s="183">
        <f>N16*F2</f>
        <v>1522.77</v>
      </c>
      <c r="D19" s="160">
        <f t="shared" si="0"/>
        <v>44477.23</v>
      </c>
      <c r="L19" s="129" t="s">
        <v>59</v>
      </c>
      <c r="M19" s="151">
        <v>108800</v>
      </c>
      <c r="N19" s="151">
        <v>108800</v>
      </c>
      <c r="O19" s="152" t="s">
        <v>126</v>
      </c>
      <c r="P19" s="129"/>
      <c r="Q19" s="151">
        <v>4500</v>
      </c>
      <c r="R19" s="129"/>
      <c r="S19" s="153">
        <v>113300</v>
      </c>
      <c r="T19" s="154">
        <v>113300</v>
      </c>
    </row>
    <row r="20" spans="1:20" ht="15" x14ac:dyDescent="0.3">
      <c r="A20" s="3" t="s">
        <v>58</v>
      </c>
      <c r="B20" s="128">
        <f>'2025-26 SPU Distr'!F20</f>
        <v>4700</v>
      </c>
      <c r="C20" s="183">
        <f>N18*F2</f>
        <v>128.87</v>
      </c>
      <c r="D20" s="160">
        <f t="shared" si="0"/>
        <v>4571.13</v>
      </c>
      <c r="L20" s="145" t="s">
        <v>130</v>
      </c>
      <c r="M20" s="155">
        <v>543400</v>
      </c>
      <c r="N20" s="155">
        <v>543400</v>
      </c>
      <c r="O20" s="155">
        <v>0</v>
      </c>
      <c r="P20" s="11"/>
      <c r="Q20" s="155">
        <v>4500</v>
      </c>
      <c r="R20" s="129"/>
      <c r="S20" s="139">
        <v>547900</v>
      </c>
      <c r="T20" s="141">
        <v>547900</v>
      </c>
    </row>
    <row r="21" spans="1:20" ht="15" x14ac:dyDescent="0.3">
      <c r="A21" s="3" t="s">
        <v>59</v>
      </c>
      <c r="B21" s="128">
        <f>'2025-26 SPU Distr'!F21</f>
        <v>274500</v>
      </c>
      <c r="C21" s="183">
        <f>N19*F2</f>
        <v>2861.44</v>
      </c>
      <c r="D21" s="160">
        <f t="shared" si="0"/>
        <v>271638.56</v>
      </c>
      <c r="L21" s="129"/>
      <c r="M21" s="149"/>
      <c r="N21" s="149"/>
      <c r="O21" s="129"/>
      <c r="P21" s="129"/>
      <c r="Q21" s="123"/>
      <c r="R21" s="129"/>
      <c r="S21" s="138" t="s">
        <v>131</v>
      </c>
      <c r="T21" s="140" t="s">
        <v>131</v>
      </c>
    </row>
    <row r="22" spans="1:20" ht="15" x14ac:dyDescent="0.3">
      <c r="A22" s="3" t="s">
        <v>60</v>
      </c>
      <c r="B22" s="128">
        <f>'2025-26 SPU Distr'!F22</f>
        <v>203400</v>
      </c>
      <c r="D22" s="160">
        <f t="shared" si="0"/>
        <v>203400</v>
      </c>
      <c r="L22" s="129" t="s">
        <v>137</v>
      </c>
      <c r="M22" s="136">
        <v>555100</v>
      </c>
      <c r="N22" s="136">
        <v>555100</v>
      </c>
      <c r="O22" s="137">
        <v>0</v>
      </c>
      <c r="P22" s="129"/>
      <c r="Q22" s="136">
        <v>0</v>
      </c>
      <c r="R22" s="129"/>
      <c r="S22" s="139">
        <v>555100</v>
      </c>
      <c r="T22" s="141">
        <v>555100</v>
      </c>
    </row>
    <row r="23" spans="1:20" ht="15" x14ac:dyDescent="0.3">
      <c r="A23" s="13" t="s">
        <v>61</v>
      </c>
      <c r="B23" s="128">
        <f>'2025-26 SPU Distr'!F23</f>
        <v>54200</v>
      </c>
      <c r="C23" s="183">
        <f>N26*F2</f>
        <v>544.41</v>
      </c>
      <c r="D23" s="160">
        <f t="shared" si="0"/>
        <v>53655.59</v>
      </c>
      <c r="L23" s="129" t="s">
        <v>138</v>
      </c>
      <c r="M23" s="142">
        <v>57000</v>
      </c>
      <c r="N23" s="142">
        <v>57000</v>
      </c>
      <c r="O23" s="129" t="s">
        <v>126</v>
      </c>
      <c r="P23" s="129"/>
      <c r="Q23" s="135" t="s">
        <v>127</v>
      </c>
      <c r="R23" s="129"/>
      <c r="S23" s="143">
        <v>57000</v>
      </c>
      <c r="T23" s="144">
        <v>57000</v>
      </c>
    </row>
    <row r="24" spans="1:20" ht="15" x14ac:dyDescent="0.3">
      <c r="A24" s="14" t="s">
        <v>62</v>
      </c>
      <c r="B24" s="128">
        <f>'2025-26 SPU Distr'!F24</f>
        <v>149200</v>
      </c>
      <c r="C24" s="183">
        <f>N25*F2</f>
        <v>1635.8600000000001</v>
      </c>
      <c r="D24" s="160">
        <f t="shared" si="0"/>
        <v>147564.14000000001</v>
      </c>
      <c r="L24" s="129" t="s">
        <v>139</v>
      </c>
      <c r="M24" s="142">
        <v>72200</v>
      </c>
      <c r="N24" s="142">
        <v>72200</v>
      </c>
      <c r="O24" s="129" t="s">
        <v>126</v>
      </c>
      <c r="P24" s="129"/>
      <c r="Q24" s="135" t="s">
        <v>127</v>
      </c>
      <c r="R24" s="129"/>
      <c r="S24" s="143">
        <v>72200</v>
      </c>
      <c r="T24" s="144">
        <v>72200</v>
      </c>
    </row>
    <row r="25" spans="1:20" ht="15" x14ac:dyDescent="0.3">
      <c r="A25" s="3" t="s">
        <v>63</v>
      </c>
      <c r="B25" s="128">
        <f>'2025-26 SPU Distr'!F25</f>
        <v>138900</v>
      </c>
      <c r="C25" s="183">
        <f>N23*F2</f>
        <v>1499.1000000000001</v>
      </c>
      <c r="D25" s="160">
        <f t="shared" si="0"/>
        <v>137400.9</v>
      </c>
      <c r="L25" s="129" t="s">
        <v>140</v>
      </c>
      <c r="M25" s="142">
        <v>62200</v>
      </c>
      <c r="N25" s="142">
        <v>62200</v>
      </c>
      <c r="O25" s="129" t="s">
        <v>126</v>
      </c>
      <c r="P25" s="129"/>
      <c r="Q25" s="135" t="s">
        <v>127</v>
      </c>
      <c r="R25" s="129"/>
      <c r="S25" s="143">
        <v>62200</v>
      </c>
      <c r="T25" s="144">
        <v>62200</v>
      </c>
    </row>
    <row r="26" spans="1:20" ht="15" x14ac:dyDescent="0.3">
      <c r="A26" s="6" t="s">
        <v>64</v>
      </c>
      <c r="B26" s="128">
        <f>'2025-26 SPU Distr'!F26</f>
        <v>175200</v>
      </c>
      <c r="C26" s="183">
        <f>N24*F2</f>
        <v>1898.8600000000001</v>
      </c>
      <c r="D26" s="160">
        <f t="shared" si="0"/>
        <v>173301.14</v>
      </c>
      <c r="L26" s="129" t="s">
        <v>61</v>
      </c>
      <c r="M26" s="151">
        <v>20700</v>
      </c>
      <c r="N26" s="151">
        <v>20700</v>
      </c>
      <c r="O26" s="152" t="s">
        <v>126</v>
      </c>
      <c r="P26" s="129"/>
      <c r="Q26" s="150" t="s">
        <v>127</v>
      </c>
      <c r="R26" s="129"/>
      <c r="S26" s="153">
        <v>20700</v>
      </c>
      <c r="T26" s="154">
        <v>20700</v>
      </c>
    </row>
    <row r="27" spans="1:20" ht="15" x14ac:dyDescent="0.3">
      <c r="A27" s="7" t="s">
        <v>32</v>
      </c>
      <c r="B27" s="128">
        <f>'2025-26 SPU Distr'!F27</f>
        <v>3155400</v>
      </c>
      <c r="D27" s="160">
        <f t="shared" si="0"/>
        <v>3155400</v>
      </c>
      <c r="L27" s="145" t="s">
        <v>130</v>
      </c>
      <c r="M27" s="155">
        <v>767200</v>
      </c>
      <c r="N27" s="155">
        <v>767200</v>
      </c>
      <c r="O27" s="155">
        <v>0</v>
      </c>
      <c r="P27" s="11"/>
      <c r="Q27" s="155">
        <v>0</v>
      </c>
      <c r="R27" s="129"/>
      <c r="S27" s="139">
        <v>767200</v>
      </c>
      <c r="T27" s="141">
        <v>767200</v>
      </c>
    </row>
    <row r="28" spans="1:20" ht="15" x14ac:dyDescent="0.3">
      <c r="A28" s="7"/>
      <c r="B28" s="128"/>
      <c r="D28" s="160"/>
      <c r="L28" s="129"/>
      <c r="M28" s="149"/>
      <c r="N28" s="149"/>
      <c r="O28" s="129"/>
      <c r="P28" s="129"/>
      <c r="Q28" s="123"/>
      <c r="R28" s="129"/>
      <c r="S28" s="138" t="s">
        <v>131</v>
      </c>
      <c r="T28" s="140" t="s">
        <v>131</v>
      </c>
    </row>
    <row r="29" spans="1:20" ht="15" x14ac:dyDescent="0.3">
      <c r="A29" s="5" t="s">
        <v>65</v>
      </c>
      <c r="B29" s="128"/>
      <c r="D29" s="160"/>
      <c r="L29" s="129" t="s">
        <v>141</v>
      </c>
      <c r="M29" s="136">
        <v>43100</v>
      </c>
      <c r="N29" s="136">
        <v>43100</v>
      </c>
      <c r="O29" s="137">
        <v>0</v>
      </c>
      <c r="P29" s="129"/>
      <c r="Q29" s="136">
        <v>0</v>
      </c>
      <c r="R29" s="129"/>
      <c r="S29" s="139">
        <v>43100</v>
      </c>
      <c r="T29" s="141">
        <v>43100</v>
      </c>
    </row>
    <row r="30" spans="1:20" ht="15" x14ac:dyDescent="0.3">
      <c r="A30" s="3" t="s">
        <v>66</v>
      </c>
      <c r="B30" s="128">
        <f>'2025-26 SPU Distr'!F30</f>
        <v>141600</v>
      </c>
      <c r="D30" s="160">
        <f t="shared" si="0"/>
        <v>141600</v>
      </c>
      <c r="L30" s="129" t="s">
        <v>142</v>
      </c>
      <c r="M30" s="142">
        <v>284400</v>
      </c>
      <c r="N30" s="142">
        <v>284400</v>
      </c>
      <c r="O30" s="129" t="s">
        <v>126</v>
      </c>
      <c r="P30" s="129"/>
      <c r="Q30" s="135" t="s">
        <v>127</v>
      </c>
      <c r="R30" s="129"/>
      <c r="S30" s="143">
        <v>284400</v>
      </c>
      <c r="T30" s="144">
        <v>284400</v>
      </c>
    </row>
    <row r="31" spans="1:20" ht="15" x14ac:dyDescent="0.3">
      <c r="A31" s="3" t="s">
        <v>67</v>
      </c>
      <c r="B31" s="128">
        <f>'2025-26 SPU Distr'!F31</f>
        <v>96600</v>
      </c>
      <c r="C31" s="183">
        <f>N29*F2</f>
        <v>1133.53</v>
      </c>
      <c r="L31" s="145" t="s">
        <v>130</v>
      </c>
      <c r="M31" s="146">
        <v>327500</v>
      </c>
      <c r="N31" s="146">
        <v>327500</v>
      </c>
      <c r="O31" s="146">
        <v>0</v>
      </c>
      <c r="P31" s="11"/>
      <c r="Q31" s="146">
        <v>0</v>
      </c>
      <c r="R31" s="129"/>
      <c r="S31" s="147">
        <v>327500</v>
      </c>
      <c r="T31" s="148">
        <v>327500</v>
      </c>
    </row>
    <row r="32" spans="1:20" ht="15" x14ac:dyDescent="0.3">
      <c r="A32" s="3" t="s">
        <v>68</v>
      </c>
      <c r="B32" s="128">
        <f>'2025-26 SPU Distr'!F32</f>
        <v>688800</v>
      </c>
      <c r="C32" s="183">
        <f>N30*F2</f>
        <v>7479.72</v>
      </c>
      <c r="L32" s="129"/>
      <c r="M32" s="11"/>
      <c r="N32" s="11"/>
      <c r="O32" s="11"/>
      <c r="P32" s="11"/>
      <c r="Q32" s="11"/>
      <c r="R32" s="129"/>
      <c r="S32" s="138" t="s">
        <v>131</v>
      </c>
      <c r="T32" s="140" t="s">
        <v>131</v>
      </c>
    </row>
    <row r="33" spans="1:20" ht="15" x14ac:dyDescent="0.3">
      <c r="A33" s="3" t="s">
        <v>69</v>
      </c>
      <c r="B33" s="128">
        <f>'2025-26 SPU Distr'!F33</f>
        <v>0</v>
      </c>
      <c r="L33" s="132" t="s">
        <v>90</v>
      </c>
      <c r="M33" s="155">
        <v>5439300</v>
      </c>
      <c r="N33" s="155">
        <v>5439300</v>
      </c>
      <c r="O33" s="155">
        <v>0</v>
      </c>
      <c r="P33" s="11"/>
      <c r="Q33" s="155">
        <v>15700</v>
      </c>
      <c r="R33" s="129"/>
      <c r="S33" s="139">
        <v>5455000</v>
      </c>
      <c r="T33" s="141">
        <v>5455000</v>
      </c>
    </row>
    <row r="34" spans="1:20" ht="15.75" thickBot="1" x14ac:dyDescent="0.35">
      <c r="A34" s="13" t="s">
        <v>70</v>
      </c>
      <c r="B34" s="128">
        <f>'2025-26 SPU Distr'!F34</f>
        <v>0</v>
      </c>
      <c r="L34" s="129"/>
      <c r="M34" s="11"/>
      <c r="N34" s="11"/>
      <c r="O34" s="11"/>
      <c r="P34" s="11"/>
      <c r="Q34" s="11"/>
      <c r="R34" s="129"/>
      <c r="S34" s="138" t="s">
        <v>131</v>
      </c>
      <c r="T34" s="140" t="s">
        <v>131</v>
      </c>
    </row>
    <row r="35" spans="1:20" ht="18.75" thickBot="1" x14ac:dyDescent="0.4">
      <c r="A35" s="15" t="s">
        <v>71</v>
      </c>
      <c r="B35" s="128">
        <f>'2025-26 SPU Distr'!F35</f>
        <v>0</v>
      </c>
      <c r="L35" s="156" t="s">
        <v>143</v>
      </c>
      <c r="M35" s="157">
        <v>30308500</v>
      </c>
      <c r="N35" s="157">
        <v>19917000</v>
      </c>
      <c r="O35" s="157">
        <v>10391500</v>
      </c>
      <c r="P35" s="112"/>
      <c r="Q35" s="157">
        <v>198200</v>
      </c>
      <c r="R35" s="156"/>
      <c r="S35" s="158">
        <v>30506700</v>
      </c>
      <c r="T35" s="159">
        <v>20115200</v>
      </c>
    </row>
    <row r="36" spans="1:20" ht="15" x14ac:dyDescent="0.3">
      <c r="A36" s="16" t="s">
        <v>72</v>
      </c>
      <c r="B36" s="128">
        <f>'2025-26 SPU Distr'!F36</f>
        <v>0</v>
      </c>
    </row>
    <row r="37" spans="1:20" ht="15" x14ac:dyDescent="0.3">
      <c r="A37" s="12" t="s">
        <v>73</v>
      </c>
      <c r="B37" s="128">
        <f>'2025-26 SPU Distr'!F37</f>
        <v>0</v>
      </c>
    </row>
    <row r="38" spans="1:20" ht="15" x14ac:dyDescent="0.3">
      <c r="A38" s="4" t="s">
        <v>74</v>
      </c>
      <c r="B38" s="128">
        <f>'2025-26 SPU Distr'!F38</f>
        <v>162500</v>
      </c>
    </row>
    <row r="39" spans="1:20" ht="15" x14ac:dyDescent="0.3">
      <c r="A39" s="13" t="s">
        <v>75</v>
      </c>
      <c r="B39" s="128">
        <f>'2025-26 SPU Distr'!F39</f>
        <v>162500</v>
      </c>
    </row>
    <row r="40" spans="1:20" ht="15" x14ac:dyDescent="0.3">
      <c r="A40" s="15" t="s">
        <v>76</v>
      </c>
      <c r="B40" s="128">
        <f>'2025-26 SPU Distr'!F40</f>
        <v>0</v>
      </c>
    </row>
    <row r="41" spans="1:20" ht="15" x14ac:dyDescent="0.3">
      <c r="A41" s="15" t="s">
        <v>78</v>
      </c>
      <c r="B41" s="128">
        <f>'2025-26 SPU Distr'!F41</f>
        <v>0</v>
      </c>
    </row>
    <row r="42" spans="1:20" ht="15" x14ac:dyDescent="0.3">
      <c r="A42" s="15" t="s">
        <v>79</v>
      </c>
      <c r="B42" s="128">
        <f>'2025-26 SPU Distr'!F42</f>
        <v>0</v>
      </c>
    </row>
    <row r="43" spans="1:20" ht="15" x14ac:dyDescent="0.3">
      <c r="A43" s="15" t="s">
        <v>80</v>
      </c>
      <c r="B43" s="128">
        <f>'2025-26 SPU Distr'!F43</f>
        <v>0</v>
      </c>
    </row>
    <row r="44" spans="1:20" ht="15" x14ac:dyDescent="0.3">
      <c r="A44" s="15" t="s">
        <v>81</v>
      </c>
      <c r="B44" s="128">
        <f>'2025-26 SPU Distr'!F44</f>
        <v>0</v>
      </c>
    </row>
    <row r="45" spans="1:20" ht="15" x14ac:dyDescent="0.3">
      <c r="A45" s="15" t="s">
        <v>82</v>
      </c>
      <c r="B45" s="128">
        <f>'2025-26 SPU Distr'!F45</f>
        <v>0</v>
      </c>
    </row>
    <row r="46" spans="1:20" ht="15" x14ac:dyDescent="0.3">
      <c r="A46" s="15" t="s">
        <v>83</v>
      </c>
      <c r="B46" s="128">
        <f>'2025-26 SPU Distr'!F46</f>
        <v>0</v>
      </c>
    </row>
    <row r="47" spans="1:20" ht="15" x14ac:dyDescent="0.3">
      <c r="A47" s="15" t="s">
        <v>84</v>
      </c>
      <c r="B47" s="128">
        <f>'2025-26 SPU Distr'!F47</f>
        <v>0</v>
      </c>
    </row>
    <row r="48" spans="1:20" ht="15" x14ac:dyDescent="0.3">
      <c r="A48" s="15" t="s">
        <v>85</v>
      </c>
      <c r="B48" s="128">
        <f>'2025-26 SPU Distr'!F48</f>
        <v>0</v>
      </c>
    </row>
    <row r="49" spans="1:2" ht="15" x14ac:dyDescent="0.3">
      <c r="A49" s="15" t="s">
        <v>86</v>
      </c>
      <c r="B49" s="128">
        <f>'2025-26 SPU Distr'!F49</f>
        <v>0</v>
      </c>
    </row>
    <row r="50" spans="1:2" ht="15" x14ac:dyDescent="0.3">
      <c r="A50" s="15" t="s">
        <v>87</v>
      </c>
      <c r="B50" s="128">
        <f>'2025-26 SPU Distr'!F50</f>
        <v>0</v>
      </c>
    </row>
    <row r="51" spans="1:2" ht="15" x14ac:dyDescent="0.3">
      <c r="A51" s="15" t="s">
        <v>88</v>
      </c>
      <c r="B51" s="128">
        <f>'2025-26 SPU Distr'!F51</f>
        <v>0</v>
      </c>
    </row>
    <row r="52" spans="1:2" ht="15" x14ac:dyDescent="0.3">
      <c r="A52" s="15" t="s">
        <v>89</v>
      </c>
      <c r="B52" s="128">
        <f>'2025-26 SPU Distr'!F52</f>
        <v>0</v>
      </c>
    </row>
    <row r="53" spans="1:2" ht="15" x14ac:dyDescent="0.3">
      <c r="A53" s="17" t="s">
        <v>32</v>
      </c>
      <c r="B53" s="128">
        <f>'2025-26 SPU Distr'!F53</f>
        <v>1089500</v>
      </c>
    </row>
    <row r="54" spans="1:2" ht="15" x14ac:dyDescent="0.3">
      <c r="A54" s="3"/>
      <c r="B54" s="128">
        <f>'2025-26 SPU Distr'!F54</f>
        <v>0</v>
      </c>
    </row>
    <row r="55" spans="1:2" ht="15" x14ac:dyDescent="0.3">
      <c r="A55" s="18" t="s">
        <v>90</v>
      </c>
      <c r="B55" s="128">
        <f>'2025-26 SPU Distr'!F55</f>
        <v>14044700</v>
      </c>
    </row>
    <row r="56" spans="1:2" ht="15" x14ac:dyDescent="0.3">
      <c r="A56" s="3"/>
      <c r="B56" s="128">
        <f>'2025-26 SPU Distr'!F56</f>
        <v>0</v>
      </c>
    </row>
    <row r="57" spans="1:2" ht="15" x14ac:dyDescent="0.3">
      <c r="A57" s="7" t="s">
        <v>91</v>
      </c>
      <c r="B57" s="128">
        <f>'2025-26 SPU Distr'!F57</f>
        <v>49872700</v>
      </c>
    </row>
    <row r="58" spans="1:2" ht="15" x14ac:dyDescent="0.3">
      <c r="A58" s="3"/>
      <c r="B58" s="128">
        <f>'2025-26 SPU Distr'!F58</f>
        <v>0</v>
      </c>
    </row>
    <row r="59" spans="1:2" ht="15" x14ac:dyDescent="0.3">
      <c r="A59" s="5" t="s">
        <v>92</v>
      </c>
      <c r="B59" s="128">
        <f>'2025-26 SPU Distr'!F59</f>
        <v>0</v>
      </c>
    </row>
    <row r="60" spans="1:2" ht="15" x14ac:dyDescent="0.3">
      <c r="A60" s="3" t="s">
        <v>93</v>
      </c>
      <c r="B60" s="128">
        <f>'2025-26 SPU Distr'!F60</f>
        <v>0</v>
      </c>
    </row>
    <row r="61" spans="1:2" ht="15" x14ac:dyDescent="0.3">
      <c r="A61" s="3" t="s">
        <v>94</v>
      </c>
      <c r="B61" s="128">
        <f>'2025-26 SPU Distr'!F61</f>
        <v>0</v>
      </c>
    </row>
    <row r="62" spans="1:2" ht="15" x14ac:dyDescent="0.3">
      <c r="A62" s="3" t="s">
        <v>95</v>
      </c>
      <c r="B62" s="128">
        <f>'2025-26 SPU Distr'!F62</f>
        <v>0</v>
      </c>
    </row>
    <row r="63" spans="1:2" ht="15" x14ac:dyDescent="0.3">
      <c r="A63" s="3" t="s">
        <v>96</v>
      </c>
      <c r="B63" s="128">
        <f>'2025-26 SPU Distr'!F63</f>
        <v>0</v>
      </c>
    </row>
    <row r="64" spans="1:2" ht="15" x14ac:dyDescent="0.3">
      <c r="A64" s="3" t="s">
        <v>97</v>
      </c>
      <c r="B64" s="128">
        <f>'2025-26 SPU Distr'!F64</f>
        <v>0</v>
      </c>
    </row>
    <row r="65" spans="1:2" ht="15" x14ac:dyDescent="0.3">
      <c r="A65" s="12" t="s">
        <v>98</v>
      </c>
      <c r="B65" s="128">
        <f>'2025-26 SPU Distr'!F65</f>
        <v>0</v>
      </c>
    </row>
    <row r="66" spans="1:2" ht="15" x14ac:dyDescent="0.3">
      <c r="A66" s="3" t="s">
        <v>99</v>
      </c>
      <c r="B66" s="128">
        <f>'2025-26 SPU Distr'!F66</f>
        <v>0</v>
      </c>
    </row>
    <row r="67" spans="1:2" ht="15" x14ac:dyDescent="0.3">
      <c r="A67" s="13" t="s">
        <v>100</v>
      </c>
      <c r="B67" s="128">
        <f>'2025-26 SPU Distr'!F67</f>
        <v>0</v>
      </c>
    </row>
    <row r="68" spans="1:2" ht="15" x14ac:dyDescent="0.3">
      <c r="A68" s="15" t="s">
        <v>101</v>
      </c>
      <c r="B68" s="128">
        <f>'2025-26 SPU Distr'!F68</f>
        <v>0</v>
      </c>
    </row>
    <row r="69" spans="1:2" ht="15" x14ac:dyDescent="0.3">
      <c r="A69" s="15" t="s">
        <v>102</v>
      </c>
      <c r="B69" s="128">
        <f>'2025-26 SPU Distr'!F69</f>
        <v>0</v>
      </c>
    </row>
    <row r="70" spans="1:2" ht="15" x14ac:dyDescent="0.3">
      <c r="A70" s="15" t="s">
        <v>103</v>
      </c>
      <c r="B70" s="128">
        <f>'2025-26 SPU Distr'!F70</f>
        <v>0</v>
      </c>
    </row>
    <row r="71" spans="1:2" ht="15" x14ac:dyDescent="0.3">
      <c r="A71" s="15" t="s">
        <v>104</v>
      </c>
      <c r="B71" s="128">
        <f>'2025-26 SPU Distr'!F71</f>
        <v>0</v>
      </c>
    </row>
    <row r="72" spans="1:2" ht="15" x14ac:dyDescent="0.3">
      <c r="A72" s="15" t="s">
        <v>105</v>
      </c>
      <c r="B72" s="128">
        <f>'2025-26 SPU Distr'!F72</f>
        <v>0</v>
      </c>
    </row>
    <row r="73" spans="1:2" ht="15" x14ac:dyDescent="0.3">
      <c r="A73" s="15" t="s">
        <v>106</v>
      </c>
      <c r="B73" s="128">
        <f>'2025-26 SPU Distr'!F73</f>
        <v>0</v>
      </c>
    </row>
    <row r="74" spans="1:2" ht="15" x14ac:dyDescent="0.3">
      <c r="A74" s="15" t="s">
        <v>107</v>
      </c>
      <c r="B74" s="128">
        <f>'2025-26 SPU Distr'!F74</f>
        <v>0</v>
      </c>
    </row>
    <row r="75" spans="1:2" ht="15" x14ac:dyDescent="0.3">
      <c r="A75" s="16" t="s">
        <v>108</v>
      </c>
      <c r="B75" s="128">
        <f>'2025-26 SPU Distr'!F75</f>
        <v>0</v>
      </c>
    </row>
    <row r="76" spans="1:2" ht="15" x14ac:dyDescent="0.3">
      <c r="A76" s="7" t="s">
        <v>111</v>
      </c>
      <c r="B76" s="128">
        <f>'2025-26 SPU Distr'!F80</f>
        <v>0</v>
      </c>
    </row>
    <row r="77" spans="1:2" ht="15" x14ac:dyDescent="0.3">
      <c r="A77" s="3"/>
      <c r="B77" s="128">
        <f>'2025-26 SPU Distr'!F81</f>
        <v>0</v>
      </c>
    </row>
    <row r="78" spans="1:2" ht="15.75" thickBot="1" x14ac:dyDescent="0.35">
      <c r="A78" s="19" t="s">
        <v>112</v>
      </c>
      <c r="B78" s="128">
        <f>'2025-26 SPU Distr'!F82</f>
        <v>49872700</v>
      </c>
    </row>
    <row r="79" spans="1:2" ht="15.75" thickBot="1" x14ac:dyDescent="0.35">
      <c r="A79" s="20"/>
      <c r="B79" s="128">
        <f>'2025-26 SPU Distr'!F83</f>
        <v>0</v>
      </c>
    </row>
    <row r="80" spans="1:2" ht="15.75" thickBot="1" x14ac:dyDescent="0.35">
      <c r="A80" s="21" t="s">
        <v>113</v>
      </c>
      <c r="B80" s="128">
        <f>'2025-26 SPU Distr'!F84</f>
        <v>0</v>
      </c>
    </row>
    <row r="81" spans="1:2" ht="15.75" thickBot="1" x14ac:dyDescent="0.35">
      <c r="A81" s="20"/>
      <c r="B81" s="128">
        <f>'2025-26 SPU Distr'!F85</f>
        <v>0</v>
      </c>
    </row>
    <row r="82" spans="1:2" ht="15.75" thickBot="1" x14ac:dyDescent="0.35">
      <c r="A82" s="21" t="s">
        <v>114</v>
      </c>
      <c r="B82" s="128">
        <f>'2025-26 SPU Distr'!F86</f>
        <v>0</v>
      </c>
    </row>
    <row r="83" spans="1:2" ht="15.75" thickBot="1" x14ac:dyDescent="0.35">
      <c r="A83" s="20"/>
      <c r="B83" s="128">
        <f>'2025-26 SPU Distr'!F87</f>
        <v>0</v>
      </c>
    </row>
    <row r="84" spans="1:2" ht="15.75" thickBot="1" x14ac:dyDescent="0.35">
      <c r="A84" s="115" t="s">
        <v>115</v>
      </c>
      <c r="B84" s="128">
        <f>'2025-26 SPU Distr'!F88</f>
        <v>0</v>
      </c>
    </row>
    <row r="85" spans="1:2" ht="18.75" thickBot="1" x14ac:dyDescent="0.4">
      <c r="A85" s="1"/>
      <c r="B85" s="128">
        <f>'2025-26 SPU Distr'!F89</f>
        <v>0</v>
      </c>
    </row>
    <row r="86" spans="1:2" ht="15.75" thickBot="1" x14ac:dyDescent="0.35">
      <c r="A86" s="21" t="s">
        <v>116</v>
      </c>
      <c r="B86" s="128">
        <f>'2025-26 SPU Distr'!F90</f>
        <v>49872700</v>
      </c>
    </row>
    <row r="87" spans="1:2" ht="18" x14ac:dyDescent="0.35">
      <c r="A87" s="1"/>
    </row>
    <row r="88" spans="1:2" ht="18" x14ac:dyDescent="0.35">
      <c r="A88" s="1"/>
    </row>
    <row r="89" spans="1:2" ht="18" x14ac:dyDescent="0.35">
      <c r="A89" s="1"/>
    </row>
    <row r="90" spans="1:2" ht="18" x14ac:dyDescent="0.35">
      <c r="A90" s="1"/>
    </row>
    <row r="91" spans="1:2" ht="18" x14ac:dyDescent="0.35">
      <c r="A91" s="1"/>
    </row>
    <row r="92" spans="1:2" ht="18" x14ac:dyDescent="0.35">
      <c r="A92" s="1"/>
    </row>
    <row r="93" spans="1:2" ht="18" x14ac:dyDescent="0.35">
      <c r="A93" s="1"/>
    </row>
    <row r="94" spans="1:2" ht="18" x14ac:dyDescent="0.35">
      <c r="A94" s="1"/>
    </row>
    <row r="95" spans="1:2" ht="18" x14ac:dyDescent="0.35">
      <c r="A95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4CA8-FEC2-4311-9573-34E7DD5D6328}">
  <sheetPr>
    <tabColor rgb="FFC00000"/>
  </sheetPr>
  <dimension ref="A1:M38"/>
  <sheetViews>
    <sheetView zoomScaleNormal="100" workbookViewId="0">
      <selection activeCell="C15" sqref="C15"/>
    </sheetView>
  </sheetViews>
  <sheetFormatPr defaultRowHeight="15" x14ac:dyDescent="0.3"/>
  <cols>
    <col min="1" max="1" width="30.140625" style="11" bestFit="1" customWidth="1"/>
    <col min="2" max="2" width="18.5703125" style="11" bestFit="1" customWidth="1"/>
    <col min="3" max="4" width="15" style="11" bestFit="1" customWidth="1"/>
    <col min="5" max="5" width="15" style="194" customWidth="1"/>
    <col min="6" max="6" width="13.28515625" style="11" bestFit="1" customWidth="1"/>
    <col min="7" max="7" width="13.28515625" style="11" customWidth="1"/>
    <col min="8" max="8" width="13.28515625" style="122" customWidth="1"/>
    <col min="9" max="9" width="20.7109375" style="175" customWidth="1"/>
    <col min="10" max="10" width="23.85546875" style="175" customWidth="1"/>
    <col min="11" max="11" width="9.140625" style="11"/>
    <col min="12" max="12" width="16.140625" style="180" bestFit="1" customWidth="1"/>
    <col min="13" max="13" width="15" style="180" bestFit="1" customWidth="1"/>
    <col min="14" max="16384" width="9.140625" style="11"/>
  </cols>
  <sheetData>
    <row r="1" spans="1:10" ht="15.75" thickBot="1" x14ac:dyDescent="0.35">
      <c r="B1" s="285" t="s">
        <v>144</v>
      </c>
      <c r="C1" s="285"/>
      <c r="D1" s="285"/>
      <c r="E1" s="285" t="s">
        <v>145</v>
      </c>
      <c r="F1" s="285"/>
      <c r="G1" s="285"/>
      <c r="H1" s="285"/>
      <c r="I1" s="285" t="s">
        <v>146</v>
      </c>
      <c r="J1" s="285"/>
    </row>
    <row r="2" spans="1:10" ht="15" customHeight="1" x14ac:dyDescent="0.3">
      <c r="A2" s="2"/>
      <c r="B2" s="170" t="s">
        <v>117</v>
      </c>
      <c r="C2" s="288" t="s">
        <v>147</v>
      </c>
      <c r="D2" s="289"/>
      <c r="E2" s="292" t="s">
        <v>148</v>
      </c>
      <c r="F2" s="196" t="s">
        <v>149</v>
      </c>
      <c r="G2" s="286" t="s">
        <v>150</v>
      </c>
      <c r="H2" s="205" t="s">
        <v>151</v>
      </c>
      <c r="I2" s="199" t="s">
        <v>152</v>
      </c>
      <c r="J2" s="290" t="s">
        <v>153</v>
      </c>
    </row>
    <row r="3" spans="1:10" ht="29.25" customHeight="1" thickBot="1" x14ac:dyDescent="0.35">
      <c r="A3" s="10" t="s">
        <v>25</v>
      </c>
      <c r="B3" s="207" t="s">
        <v>154</v>
      </c>
      <c r="C3" s="208" t="s">
        <v>5</v>
      </c>
      <c r="D3" s="215" t="s">
        <v>9</v>
      </c>
      <c r="E3" s="293"/>
      <c r="F3" s="209" t="s">
        <v>9</v>
      </c>
      <c r="G3" s="287"/>
      <c r="H3" s="206" t="s">
        <v>24</v>
      </c>
      <c r="I3" s="210" t="s">
        <v>155</v>
      </c>
      <c r="J3" s="291"/>
    </row>
    <row r="4" spans="1:10" ht="29.25" customHeight="1" x14ac:dyDescent="0.3">
      <c r="A4" s="3" t="s">
        <v>26</v>
      </c>
      <c r="B4" s="171">
        <f>'2025-26 Form Distr'!E7</f>
        <v>2495700</v>
      </c>
      <c r="C4" s="176">
        <v>803600</v>
      </c>
      <c r="D4" s="216">
        <v>1692100</v>
      </c>
      <c r="E4" s="180">
        <v>1514781.8399999999</v>
      </c>
      <c r="F4" s="197">
        <v>1514800</v>
      </c>
      <c r="G4" s="181">
        <f t="shared" ref="G4:G9" si="0">E4-F4</f>
        <v>-18.160000000149012</v>
      </c>
      <c r="H4" s="38">
        <f>F4/E4-1</f>
        <v>1.1988525027595287E-5</v>
      </c>
      <c r="I4" s="200">
        <v>4.7229373823018353E-2</v>
      </c>
      <c r="J4" s="211">
        <f>I4*$D$38</f>
        <v>1692134.0053311016</v>
      </c>
    </row>
    <row r="5" spans="1:10" x14ac:dyDescent="0.3">
      <c r="A5" s="3" t="s">
        <v>27</v>
      </c>
      <c r="B5" s="171">
        <f>'2025-26 Form Distr'!E8</f>
        <v>3305200</v>
      </c>
      <c r="C5" s="176">
        <v>1064300</v>
      </c>
      <c r="D5" s="216">
        <v>2240900</v>
      </c>
      <c r="E5" s="180">
        <v>2527530.7199999997</v>
      </c>
      <c r="F5" s="197">
        <v>2485400</v>
      </c>
      <c r="G5" s="181">
        <f t="shared" si="0"/>
        <v>42130.719999999739</v>
      </c>
      <c r="H5" s="38">
        <f t="shared" ref="H5:H9" si="1">F5/E5-1</f>
        <v>-1.6668727175747189E-2</v>
      </c>
      <c r="I5" s="200">
        <v>6.254816771005671E-2</v>
      </c>
      <c r="J5" s="211">
        <f>I5*$D$38</f>
        <v>2240975.7527159117</v>
      </c>
    </row>
    <row r="6" spans="1:10" x14ac:dyDescent="0.3">
      <c r="A6" s="3" t="s">
        <v>28</v>
      </c>
      <c r="B6" s="171">
        <f>'2025-26 Form Distr'!E9</f>
        <v>4742500</v>
      </c>
      <c r="C6" s="176">
        <v>1527000</v>
      </c>
      <c r="D6" s="216">
        <v>3215500</v>
      </c>
      <c r="E6" s="180">
        <v>3427927.36</v>
      </c>
      <c r="F6" s="197">
        <v>3427900</v>
      </c>
      <c r="G6" s="181">
        <f t="shared" si="0"/>
        <v>27.359999999869615</v>
      </c>
      <c r="H6" s="38">
        <f t="shared" si="1"/>
        <v>-7.9814993512172805E-6</v>
      </c>
      <c r="I6" s="200">
        <v>8.9746922140186397E-2</v>
      </c>
      <c r="J6" s="211">
        <f t="shared" ref="J6:J9" si="2">I6*$D$38</f>
        <v>3215452.7264385982</v>
      </c>
    </row>
    <row r="7" spans="1:10" x14ac:dyDescent="0.3">
      <c r="A7" s="3" t="s">
        <v>29</v>
      </c>
      <c r="B7" s="171">
        <f>'2025-26 Form Distr'!E10</f>
        <v>1738400</v>
      </c>
      <c r="C7" s="176">
        <v>559700</v>
      </c>
      <c r="D7" s="216">
        <v>1178700</v>
      </c>
      <c r="E7" s="180">
        <v>1481102.48</v>
      </c>
      <c r="F7" s="197">
        <v>1481100</v>
      </c>
      <c r="G7" s="181">
        <f t="shared" si="0"/>
        <v>2.4799999999813735</v>
      </c>
      <c r="H7" s="38">
        <f t="shared" si="1"/>
        <v>-1.6744283622971423E-6</v>
      </c>
      <c r="I7" s="200">
        <v>3.2896758971053236E-2</v>
      </c>
      <c r="J7" s="211">
        <f t="shared" si="2"/>
        <v>1178625.0804148954</v>
      </c>
    </row>
    <row r="8" spans="1:10" x14ac:dyDescent="0.3">
      <c r="A8" s="3" t="s">
        <v>30</v>
      </c>
      <c r="B8" s="171">
        <f>'2025-26 Form Distr'!E11</f>
        <v>2605700</v>
      </c>
      <c r="C8" s="176">
        <v>839000</v>
      </c>
      <c r="D8" s="216">
        <v>1766700</v>
      </c>
      <c r="E8" s="180">
        <v>1731855.8399999999</v>
      </c>
      <c r="F8" s="197">
        <v>1661900</v>
      </c>
      <c r="G8" s="181">
        <f t="shared" si="0"/>
        <v>69955.839999999851</v>
      </c>
      <c r="H8" s="38">
        <f t="shared" si="1"/>
        <v>-4.0393569940555762E-2</v>
      </c>
      <c r="I8" s="200">
        <v>4.9311104273588695E-2</v>
      </c>
      <c r="J8" s="211">
        <f t="shared" si="2"/>
        <v>1766718.2439141357</v>
      </c>
    </row>
    <row r="9" spans="1:10" x14ac:dyDescent="0.3">
      <c r="A9" s="4" t="s">
        <v>31</v>
      </c>
      <c r="B9" s="172">
        <f>'2025-26 Form Distr'!E12</f>
        <v>5878800</v>
      </c>
      <c r="C9" s="177">
        <v>1892900</v>
      </c>
      <c r="D9" s="217">
        <v>3985900</v>
      </c>
      <c r="E9" s="195">
        <v>4030472.1599999997</v>
      </c>
      <c r="F9" s="198">
        <v>4030500</v>
      </c>
      <c r="G9" s="182">
        <f t="shared" si="0"/>
        <v>-27.84000000031665</v>
      </c>
      <c r="H9" s="62">
        <f t="shared" si="1"/>
        <v>6.9073793083074264E-6</v>
      </c>
      <c r="I9" s="201">
        <v>0.11125092111607428</v>
      </c>
      <c r="J9" s="212">
        <f t="shared" si="2"/>
        <v>3985898.001746709</v>
      </c>
    </row>
    <row r="10" spans="1:10" x14ac:dyDescent="0.3">
      <c r="A10" s="7" t="s">
        <v>32</v>
      </c>
      <c r="B10" s="171">
        <f>SUM(B4:B9)</f>
        <v>20766300</v>
      </c>
      <c r="C10" s="176">
        <f t="shared" ref="C10:F10" si="3">SUM(C4:C9)</f>
        <v>6686500</v>
      </c>
      <c r="D10" s="216">
        <f t="shared" si="3"/>
        <v>14079800</v>
      </c>
      <c r="E10" s="180">
        <f>SUM(E4:E9)</f>
        <v>14713670.4</v>
      </c>
      <c r="F10" s="197">
        <f t="shared" si="3"/>
        <v>14601600</v>
      </c>
      <c r="G10" s="181">
        <f>SUM(G4:G9)</f>
        <v>112070.39999999898</v>
      </c>
      <c r="H10" s="38">
        <f>SUM(H4:H9)</f>
        <v>-5.7053057139680563E-2</v>
      </c>
      <c r="I10" s="200">
        <f>SUM(I4:I9)</f>
        <v>0.39298324803397766</v>
      </c>
      <c r="J10" s="211">
        <f>SUM(J4:J9)</f>
        <v>14079803.81056135</v>
      </c>
    </row>
    <row r="11" spans="1:10" x14ac:dyDescent="0.3">
      <c r="A11" s="7"/>
      <c r="B11" s="171"/>
      <c r="C11" s="176"/>
      <c r="D11" s="216"/>
      <c r="E11" s="180"/>
      <c r="F11" s="197"/>
      <c r="G11" s="181"/>
      <c r="H11" s="38"/>
      <c r="I11" s="202"/>
      <c r="J11" s="211"/>
    </row>
    <row r="12" spans="1:10" x14ac:dyDescent="0.3">
      <c r="A12" s="5" t="s">
        <v>33</v>
      </c>
      <c r="B12" s="171"/>
      <c r="C12" s="176"/>
      <c r="D12" s="216"/>
      <c r="E12" s="180"/>
      <c r="F12" s="197"/>
      <c r="G12" s="181"/>
      <c r="H12" s="38"/>
      <c r="I12" s="202"/>
      <c r="J12" s="211"/>
    </row>
    <row r="13" spans="1:10" x14ac:dyDescent="0.3">
      <c r="A13" s="3" t="s">
        <v>34</v>
      </c>
      <c r="B13" s="171">
        <f>'2025-26 Form Distr'!E16</f>
        <v>2684100</v>
      </c>
      <c r="C13" s="176">
        <v>864200</v>
      </c>
      <c r="D13" s="216">
        <v>1819900</v>
      </c>
      <c r="E13" s="180">
        <v>2058124.64</v>
      </c>
      <c r="F13" s="197">
        <v>2005200</v>
      </c>
      <c r="G13" s="181">
        <f>E13-F13</f>
        <v>52924.639999999898</v>
      </c>
      <c r="H13" s="38">
        <f t="shared" ref="H13:H15" si="4">F13/E13-1</f>
        <v>-2.5714982937087738E-2</v>
      </c>
      <c r="I13" s="200">
        <v>5.0793256390628594E-2</v>
      </c>
      <c r="J13" s="211">
        <f>I13*$D$38</f>
        <v>1819820.7899634412</v>
      </c>
    </row>
    <row r="14" spans="1:10" x14ac:dyDescent="0.3">
      <c r="A14" s="3" t="s">
        <v>35</v>
      </c>
      <c r="B14" s="171">
        <f>'2025-26 Form Distr'!E17</f>
        <v>11767400</v>
      </c>
      <c r="C14" s="176">
        <v>3789000</v>
      </c>
      <c r="D14" s="216">
        <v>7978400</v>
      </c>
      <c r="E14" s="180">
        <v>9813586.6400000006</v>
      </c>
      <c r="F14" s="197">
        <v>8318300</v>
      </c>
      <c r="G14" s="181">
        <f>E14-F14</f>
        <v>1495286.6400000006</v>
      </c>
      <c r="H14" s="38">
        <f t="shared" si="4"/>
        <v>-0.15236902621364135</v>
      </c>
      <c r="I14" s="200">
        <v>0.22268712140017441</v>
      </c>
      <c r="J14" s="211">
        <f>I14*$D$38</f>
        <v>7978434.185525449</v>
      </c>
    </row>
    <row r="15" spans="1:10" x14ac:dyDescent="0.3">
      <c r="A15" s="4" t="s">
        <v>36</v>
      </c>
      <c r="B15" s="172">
        <f>'2025-26 Form Distr'!E18</f>
        <v>1547100</v>
      </c>
      <c r="C15" s="177">
        <v>498200</v>
      </c>
      <c r="D15" s="217">
        <v>1048900</v>
      </c>
      <c r="E15" s="195">
        <v>1065109.76</v>
      </c>
      <c r="F15" s="198">
        <v>1003300</v>
      </c>
      <c r="G15" s="182">
        <f>E15-F15</f>
        <v>61809.760000000009</v>
      </c>
      <c r="H15" s="62">
        <f t="shared" si="4"/>
        <v>-5.8031352562199823E-2</v>
      </c>
      <c r="I15" s="201">
        <v>2.9278210520022822E-2</v>
      </c>
      <c r="J15" s="212">
        <f>I15*$D$38</f>
        <v>1048979.7265113776</v>
      </c>
    </row>
    <row r="16" spans="1:10" x14ac:dyDescent="0.3">
      <c r="A16" s="7" t="s">
        <v>32</v>
      </c>
      <c r="B16" s="171">
        <f>SUM(B13:B15)</f>
        <v>15998600</v>
      </c>
      <c r="C16" s="176">
        <f t="shared" ref="C16:F16" si="5">SUM(C13:C15)</f>
        <v>5151400</v>
      </c>
      <c r="D16" s="216">
        <f t="shared" si="5"/>
        <v>10847200</v>
      </c>
      <c r="E16" s="180">
        <f>SUM(E13:E15)</f>
        <v>12936821.040000001</v>
      </c>
      <c r="F16" s="197">
        <f t="shared" si="5"/>
        <v>11326800</v>
      </c>
      <c r="G16" s="181">
        <f>SUM(G13:G15)</f>
        <v>1610021.0400000005</v>
      </c>
      <c r="H16" s="38">
        <f>SUM(H13:H15)</f>
        <v>-0.23611536171292891</v>
      </c>
      <c r="I16" s="200">
        <f>SUM(I13:I15)</f>
        <v>0.30275858831082586</v>
      </c>
      <c r="J16" s="211">
        <f>SUM(J13:J15)</f>
        <v>10847234.702000268</v>
      </c>
    </row>
    <row r="17" spans="1:10" x14ac:dyDescent="0.3">
      <c r="A17" s="5"/>
      <c r="B17" s="171"/>
      <c r="C17" s="176"/>
      <c r="D17" s="216"/>
      <c r="E17" s="180"/>
      <c r="F17" s="197"/>
      <c r="G17" s="181"/>
      <c r="H17" s="38"/>
      <c r="I17" s="202"/>
      <c r="J17" s="211"/>
    </row>
    <row r="18" spans="1:10" x14ac:dyDescent="0.3">
      <c r="A18" s="5" t="s">
        <v>37</v>
      </c>
      <c r="B18" s="171"/>
      <c r="C18" s="176"/>
      <c r="D18" s="216"/>
      <c r="E18" s="180"/>
      <c r="F18" s="197"/>
      <c r="G18" s="181"/>
      <c r="H18" s="38"/>
      <c r="I18" s="202"/>
      <c r="J18" s="211"/>
    </row>
    <row r="19" spans="1:10" x14ac:dyDescent="0.3">
      <c r="A19" s="3" t="s">
        <v>156</v>
      </c>
      <c r="B19" s="171">
        <f>SUM(C19:D19)</f>
        <v>1358100</v>
      </c>
      <c r="C19" s="176">
        <v>437300</v>
      </c>
      <c r="D19" s="216">
        <v>920800</v>
      </c>
      <c r="E19" s="180">
        <v>881451.99999999988</v>
      </c>
      <c r="F19" s="197">
        <v>868800</v>
      </c>
      <c r="G19" s="181">
        <f t="shared" ref="G19:G31" si="6">E19-F19</f>
        <v>12651.999999999884</v>
      </c>
      <c r="H19" s="38">
        <f t="shared" ref="H19:H38" si="7">F19/E19-1</f>
        <v>-1.4353589304919478E-2</v>
      </c>
      <c r="I19" s="200">
        <v>2.5701615900770292E-2</v>
      </c>
      <c r="J19" s="211">
        <f>I19*$D$38</f>
        <v>920837.494492798</v>
      </c>
    </row>
    <row r="20" spans="1:10" x14ac:dyDescent="0.3">
      <c r="A20" s="3" t="s">
        <v>157</v>
      </c>
      <c r="B20" s="171">
        <f t="shared" ref="B20:B31" si="8">SUM(C20:D20)</f>
        <v>587800</v>
      </c>
      <c r="C20" s="176">
        <v>189300</v>
      </c>
      <c r="D20" s="216">
        <v>398500</v>
      </c>
      <c r="E20" s="180">
        <v>309955.36</v>
      </c>
      <c r="F20" s="197">
        <v>304200</v>
      </c>
      <c r="G20" s="181">
        <f t="shared" si="6"/>
        <v>5755.359999999986</v>
      </c>
      <c r="H20" s="38">
        <f t="shared" si="7"/>
        <v>-1.8568351261936566E-2</v>
      </c>
      <c r="I20" s="200">
        <v>1.1123857458668368E-2</v>
      </c>
      <c r="J20" s="211">
        <f t="shared" ref="J20:J31" si="9">I20*$D$38</f>
        <v>398545.56502917031</v>
      </c>
    </row>
    <row r="21" spans="1:10" x14ac:dyDescent="0.3">
      <c r="A21" s="3" t="s">
        <v>158</v>
      </c>
      <c r="B21" s="171">
        <f t="shared" si="8"/>
        <v>786500</v>
      </c>
      <c r="C21" s="176">
        <v>253200</v>
      </c>
      <c r="D21" s="216">
        <v>533300</v>
      </c>
      <c r="E21" s="180">
        <v>466511.75999999995</v>
      </c>
      <c r="F21" s="197">
        <v>452300</v>
      </c>
      <c r="G21" s="181">
        <f t="shared" si="6"/>
        <v>14211.759999999951</v>
      </c>
      <c r="H21" s="38">
        <f t="shared" si="7"/>
        <v>-3.0463883697165461E-2</v>
      </c>
      <c r="I21" s="200">
        <v>1.4883375658102507E-2</v>
      </c>
      <c r="J21" s="211">
        <f t="shared" si="9"/>
        <v>533241.58307849662</v>
      </c>
    </row>
    <row r="22" spans="1:10" x14ac:dyDescent="0.3">
      <c r="A22" s="3" t="s">
        <v>159</v>
      </c>
      <c r="B22" s="171">
        <f t="shared" si="8"/>
        <v>546100</v>
      </c>
      <c r="C22" s="176">
        <v>175800</v>
      </c>
      <c r="D22" s="216">
        <v>370300</v>
      </c>
      <c r="E22" s="180">
        <v>323900.71999999997</v>
      </c>
      <c r="F22" s="197">
        <v>297300</v>
      </c>
      <c r="G22" s="181">
        <f t="shared" si="6"/>
        <v>26600.719999999972</v>
      </c>
      <c r="H22" s="38">
        <f t="shared" si="7"/>
        <v>-8.2126152729762314E-2</v>
      </c>
      <c r="I22" s="200">
        <v>1.0334370008590586E-2</v>
      </c>
      <c r="J22" s="211">
        <f t="shared" si="9"/>
        <v>370259.80866778351</v>
      </c>
    </row>
    <row r="23" spans="1:10" x14ac:dyDescent="0.3">
      <c r="A23" s="3" t="s">
        <v>160</v>
      </c>
      <c r="B23" s="171">
        <f t="shared" si="8"/>
        <v>625300</v>
      </c>
      <c r="C23" s="176">
        <v>201300</v>
      </c>
      <c r="D23" s="216">
        <v>424000</v>
      </c>
      <c r="E23" s="180">
        <v>349160.24</v>
      </c>
      <c r="F23" s="197">
        <v>349000</v>
      </c>
      <c r="G23" s="181">
        <f t="shared" si="6"/>
        <v>160.23999999999069</v>
      </c>
      <c r="H23" s="38">
        <f t="shared" si="7"/>
        <v>-4.5892968798511014E-4</v>
      </c>
      <c r="I23" s="200">
        <v>1.1832848786206197E-2</v>
      </c>
      <c r="J23" s="211">
        <f t="shared" si="9"/>
        <v>423947.30631219567</v>
      </c>
    </row>
    <row r="24" spans="1:10" x14ac:dyDescent="0.3">
      <c r="A24" s="3" t="s">
        <v>161</v>
      </c>
      <c r="B24" s="171">
        <f t="shared" si="8"/>
        <v>890600</v>
      </c>
      <c r="C24" s="176">
        <v>286800</v>
      </c>
      <c r="D24" s="216">
        <v>603800</v>
      </c>
      <c r="E24" s="180">
        <v>563339.91999999993</v>
      </c>
      <c r="F24" s="197">
        <v>559900</v>
      </c>
      <c r="G24" s="181">
        <f t="shared" si="6"/>
        <v>3439.9199999999255</v>
      </c>
      <c r="H24" s="38">
        <f t="shared" si="7"/>
        <v>-6.1062954672197467E-3</v>
      </c>
      <c r="I24" s="200">
        <v>1.6854271639242208E-2</v>
      </c>
      <c r="J24" s="211">
        <f t="shared" si="9"/>
        <v>603854.84429076989</v>
      </c>
    </row>
    <row r="25" spans="1:10" x14ac:dyDescent="0.3">
      <c r="A25" s="3" t="s">
        <v>162</v>
      </c>
      <c r="B25" s="171">
        <f t="shared" si="8"/>
        <v>971000</v>
      </c>
      <c r="C25" s="176">
        <v>312700</v>
      </c>
      <c r="D25" s="216">
        <v>658300</v>
      </c>
      <c r="E25" s="180">
        <v>689637.5199999999</v>
      </c>
      <c r="F25" s="197">
        <v>646300</v>
      </c>
      <c r="G25" s="181">
        <f t="shared" si="6"/>
        <v>43337.519999999902</v>
      </c>
      <c r="H25" s="38">
        <f t="shared" si="7"/>
        <v>-6.2841012478555225E-2</v>
      </c>
      <c r="I25" s="200">
        <v>1.8375697091547565E-2</v>
      </c>
      <c r="J25" s="211">
        <f t="shared" si="9"/>
        <v>658364.47539596609</v>
      </c>
    </row>
    <row r="26" spans="1:10" x14ac:dyDescent="0.3">
      <c r="A26" s="3" t="s">
        <v>163</v>
      </c>
      <c r="B26" s="171">
        <f t="shared" si="8"/>
        <v>951500</v>
      </c>
      <c r="C26" s="176">
        <v>306400</v>
      </c>
      <c r="D26" s="216">
        <v>645100</v>
      </c>
      <c r="E26" s="180">
        <v>574654.07999999996</v>
      </c>
      <c r="F26" s="197">
        <v>554100</v>
      </c>
      <c r="G26" s="181">
        <f t="shared" si="6"/>
        <v>20554.079999999958</v>
      </c>
      <c r="H26" s="38">
        <f t="shared" si="7"/>
        <v>-3.5767743961723775E-2</v>
      </c>
      <c r="I26" s="200">
        <v>1.8005260596246395E-2</v>
      </c>
      <c r="J26" s="211">
        <f t="shared" si="9"/>
        <v>645092.47664231586</v>
      </c>
    </row>
    <row r="27" spans="1:10" x14ac:dyDescent="0.3">
      <c r="A27" s="3" t="s">
        <v>164</v>
      </c>
      <c r="B27" s="171">
        <f t="shared" si="8"/>
        <v>1489500</v>
      </c>
      <c r="C27" s="176">
        <v>479600</v>
      </c>
      <c r="D27" s="216">
        <v>1009900</v>
      </c>
      <c r="E27" s="180">
        <v>1046954.48</v>
      </c>
      <c r="F27" s="197">
        <v>1047000</v>
      </c>
      <c r="G27" s="181">
        <f t="shared" si="6"/>
        <v>-45.520000000018626</v>
      </c>
      <c r="H27" s="38">
        <f t="shared" si="7"/>
        <v>4.3478490105997025E-5</v>
      </c>
      <c r="I27" s="200">
        <v>2.8187004757962538E-2</v>
      </c>
      <c r="J27" s="211">
        <f t="shared" si="9"/>
        <v>1009884.0064682818</v>
      </c>
    </row>
    <row r="28" spans="1:10" x14ac:dyDescent="0.3">
      <c r="A28" s="3" t="s">
        <v>165</v>
      </c>
      <c r="B28" s="171">
        <f>SUM(C28:D28)</f>
        <v>966100</v>
      </c>
      <c r="C28" s="176">
        <v>311100</v>
      </c>
      <c r="D28" s="216">
        <v>655000</v>
      </c>
      <c r="E28" s="180">
        <v>670692.88</v>
      </c>
      <c r="F28" s="197">
        <v>651700</v>
      </c>
      <c r="G28" s="181">
        <f t="shared" si="6"/>
        <v>18992.880000000005</v>
      </c>
      <c r="H28" s="38">
        <f t="shared" si="7"/>
        <v>-2.8318296744107352E-2</v>
      </c>
      <c r="I28" s="200">
        <v>1.8282895053200545E-2</v>
      </c>
      <c r="J28" s="211">
        <f t="shared" si="9"/>
        <v>655039.56396606914</v>
      </c>
    </row>
    <row r="29" spans="1:10" x14ac:dyDescent="0.3">
      <c r="A29" s="3" t="s">
        <v>166</v>
      </c>
      <c r="B29" s="171">
        <f t="shared" si="8"/>
        <v>1189900</v>
      </c>
      <c r="C29" s="176">
        <v>383100</v>
      </c>
      <c r="D29" s="216">
        <v>806800</v>
      </c>
      <c r="E29" s="180">
        <v>793569.92</v>
      </c>
      <c r="F29" s="197">
        <v>793600</v>
      </c>
      <c r="G29" s="181">
        <f t="shared" si="6"/>
        <v>-30.07999999995809</v>
      </c>
      <c r="H29" s="38">
        <f t="shared" si="7"/>
        <v>3.7904662515408916E-5</v>
      </c>
      <c r="I29" s="200">
        <v>2.2517998315673464E-2</v>
      </c>
      <c r="J29" s="211">
        <f t="shared" si="9"/>
        <v>806774.84365394886</v>
      </c>
    </row>
    <row r="30" spans="1:10" x14ac:dyDescent="0.3">
      <c r="A30" s="3" t="s">
        <v>167</v>
      </c>
      <c r="B30" s="171">
        <f t="shared" si="8"/>
        <v>1202100</v>
      </c>
      <c r="C30" s="176">
        <v>387100</v>
      </c>
      <c r="D30" s="216">
        <v>815000</v>
      </c>
      <c r="E30" s="180">
        <v>760943.03999999992</v>
      </c>
      <c r="F30" s="197">
        <v>710700</v>
      </c>
      <c r="G30" s="181">
        <f t="shared" si="6"/>
        <v>50243.039999999921</v>
      </c>
      <c r="H30" s="38">
        <f t="shared" si="7"/>
        <v>-6.6027333662188381E-2</v>
      </c>
      <c r="I30" s="200">
        <v>2.2748439788575433E-2</v>
      </c>
      <c r="J30" s="211">
        <f t="shared" si="9"/>
        <v>815031.10074508062</v>
      </c>
    </row>
    <row r="31" spans="1:10" x14ac:dyDescent="0.3">
      <c r="A31" s="3" t="s">
        <v>168</v>
      </c>
      <c r="B31" s="171">
        <f t="shared" si="8"/>
        <v>1219700</v>
      </c>
      <c r="C31" s="176">
        <v>392700</v>
      </c>
      <c r="D31" s="216">
        <v>827000</v>
      </c>
      <c r="E31" s="195">
        <v>647012.07999999996</v>
      </c>
      <c r="F31" s="197">
        <v>632000</v>
      </c>
      <c r="G31" s="181">
        <f t="shared" si="6"/>
        <v>15012.079999999958</v>
      </c>
      <c r="H31" s="38">
        <f t="shared" si="7"/>
        <v>-2.3202163397010978E-2</v>
      </c>
      <c r="I31" s="200">
        <v>2.3082486513041185E-2</v>
      </c>
      <c r="J31" s="211">
        <f t="shared" si="9"/>
        <v>826999.32678923954</v>
      </c>
    </row>
    <row r="32" spans="1:10" x14ac:dyDescent="0.3">
      <c r="A32" s="167" t="s">
        <v>37</v>
      </c>
      <c r="B32" s="173">
        <f>'2025-26 Form Distr'!E21</f>
        <v>12784200</v>
      </c>
      <c r="C32" s="178">
        <v>4116400</v>
      </c>
      <c r="D32" s="218">
        <v>8667800</v>
      </c>
      <c r="E32" s="221">
        <f>SUM(E19:E31)</f>
        <v>8077784</v>
      </c>
      <c r="F32" s="213">
        <v>7866900</v>
      </c>
      <c r="G32" s="221">
        <f>SUM(G19:G31)</f>
        <v>210883.99999999948</v>
      </c>
      <c r="H32" s="223">
        <f t="shared" si="7"/>
        <v>-2.6106664897204479E-2</v>
      </c>
      <c r="I32" s="203">
        <f t="shared" ref="I32" si="10">SUM(I19:I31)</f>
        <v>0.24193012156782726</v>
      </c>
      <c r="J32" s="213">
        <f>SUM(J19:J31)</f>
        <v>8667872.3955321182</v>
      </c>
    </row>
    <row r="33" spans="1:10" x14ac:dyDescent="0.3">
      <c r="A33" s="7"/>
      <c r="B33" s="171"/>
      <c r="C33" s="176"/>
      <c r="D33" s="216"/>
      <c r="E33" s="202"/>
      <c r="F33" s="211"/>
      <c r="G33" s="202"/>
      <c r="H33" s="38"/>
      <c r="I33" s="202"/>
      <c r="J33" s="211"/>
    </row>
    <row r="34" spans="1:10" x14ac:dyDescent="0.3">
      <c r="A34" s="168" t="s">
        <v>38</v>
      </c>
      <c r="B34" s="173">
        <f t="shared" ref="B34:J34" si="11">B10+B32+B16</f>
        <v>49549100</v>
      </c>
      <c r="C34" s="178">
        <f t="shared" si="11"/>
        <v>15954300</v>
      </c>
      <c r="D34" s="218">
        <f t="shared" si="11"/>
        <v>33594800</v>
      </c>
      <c r="E34" s="221">
        <f>E10+E32+E16</f>
        <v>35728275.439999998</v>
      </c>
      <c r="F34" s="213">
        <f t="shared" si="11"/>
        <v>33795300</v>
      </c>
      <c r="G34" s="221">
        <f>G10+G32+G16</f>
        <v>1932975.439999999</v>
      </c>
      <c r="H34" s="223">
        <f t="shared" si="7"/>
        <v>-5.4102119853115305E-2</v>
      </c>
      <c r="I34" s="203">
        <f t="shared" si="11"/>
        <v>0.93767195791263069</v>
      </c>
      <c r="J34" s="213">
        <f t="shared" si="11"/>
        <v>33594910.908093736</v>
      </c>
    </row>
    <row r="35" spans="1:10" x14ac:dyDescent="0.3">
      <c r="A35" s="3"/>
      <c r="B35" s="171"/>
      <c r="C35" s="176"/>
      <c r="D35" s="216"/>
      <c r="E35" s="202"/>
      <c r="F35" s="211"/>
      <c r="G35" s="202"/>
      <c r="H35" s="38"/>
      <c r="I35" s="202"/>
      <c r="J35" s="211"/>
    </row>
    <row r="36" spans="1:10" x14ac:dyDescent="0.3">
      <c r="A36" s="167" t="s">
        <v>39</v>
      </c>
      <c r="B36" s="173">
        <f>'2025-26 Form Distr'!E25</f>
        <v>3293800</v>
      </c>
      <c r="C36" s="178">
        <v>1060600</v>
      </c>
      <c r="D36" s="218">
        <v>2233200</v>
      </c>
      <c r="E36" s="221">
        <v>2209681.7599999998</v>
      </c>
      <c r="F36" s="213">
        <v>2032700</v>
      </c>
      <c r="G36" s="221">
        <f>E36-F36</f>
        <v>176981.75999999978</v>
      </c>
      <c r="H36" s="223">
        <f t="shared" si="7"/>
        <v>-8.0093777847901393E-2</v>
      </c>
      <c r="I36" s="203">
        <v>6.2328042087369244E-2</v>
      </c>
      <c r="J36" s="213">
        <f>I36*$D$38</f>
        <v>2233089.0919062654</v>
      </c>
    </row>
    <row r="37" spans="1:10" x14ac:dyDescent="0.3">
      <c r="A37" s="3"/>
      <c r="B37" s="171"/>
      <c r="C37" s="176"/>
      <c r="D37" s="216"/>
      <c r="E37" s="202"/>
      <c r="F37" s="211"/>
      <c r="G37" s="202"/>
      <c r="H37" s="38"/>
      <c r="I37" s="202"/>
      <c r="J37" s="211"/>
    </row>
    <row r="38" spans="1:10" ht="15.75" thickBot="1" x14ac:dyDescent="0.35">
      <c r="A38" s="169" t="s">
        <v>40</v>
      </c>
      <c r="B38" s="174">
        <f>'2025-26 Form Distr'!E27</f>
        <v>52842900</v>
      </c>
      <c r="C38" s="179">
        <f>C34+C36</f>
        <v>17014900</v>
      </c>
      <c r="D38" s="219">
        <f>D34+D36</f>
        <v>35828000</v>
      </c>
      <c r="E38" s="222">
        <f>E10+E16+E32+E36</f>
        <v>37937957.199999996</v>
      </c>
      <c r="F38" s="214">
        <f>F34+F36</f>
        <v>35828000</v>
      </c>
      <c r="G38" s="222">
        <f>G10+G16+G32+G36</f>
        <v>2109957.1999999988</v>
      </c>
      <c r="H38" s="224">
        <f t="shared" si="7"/>
        <v>-5.5615993999803326E-2</v>
      </c>
      <c r="I38" s="204">
        <f>I34+I36</f>
        <v>0.99999999999999989</v>
      </c>
      <c r="J38" s="214">
        <f>J10+J16+J32+J36</f>
        <v>35828000</v>
      </c>
    </row>
  </sheetData>
  <mergeCells count="7">
    <mergeCell ref="I1:J1"/>
    <mergeCell ref="B1:D1"/>
    <mergeCell ref="E1:H1"/>
    <mergeCell ref="G2:G3"/>
    <mergeCell ref="C2:D2"/>
    <mergeCell ref="J2:J3"/>
    <mergeCell ref="E2:E3"/>
  </mergeCell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8EE058AFD7F648AA9B7D688387BF6E" ma:contentTypeVersion="4" ma:contentTypeDescription="Create a new document." ma:contentTypeScope="" ma:versionID="c8662dd7c52f835505c14e942f03caf6">
  <xsd:schema xmlns:xsd="http://www.w3.org/2001/XMLSchema" xmlns:xs="http://www.w3.org/2001/XMLSchema" xmlns:p="http://schemas.microsoft.com/office/2006/metadata/properties" xmlns:ns2="5fab360f-26c0-4c26-9962-573506cf0540" targetNamespace="http://schemas.microsoft.com/office/2006/metadata/properties" ma:root="true" ma:fieldsID="a96f050a58fe1374973fa30ec4c8dffa" ns2:_="">
    <xsd:import namespace="5fab360f-26c0-4c26-9962-573506cf0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b360f-26c0-4c26-9962-573506cf0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7DDC4-4F72-4E6D-8A4A-14B7FA71DD6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fab360f-26c0-4c26-9962-573506cf054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CBFCB5-F60A-43FC-B31A-AB174461A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F5D7D-B1C2-440B-A202-9605466DD8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ab360f-26c0-4c26-9962-573506cf0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2025-26 Form Distr</vt:lpstr>
      <vt:lpstr>2025-26 SPU Distr</vt:lpstr>
      <vt:lpstr>SPU Salary</vt:lpstr>
      <vt:lpstr>Salary</vt:lpstr>
      <vt:lpstr>'2025-26 Form Distr'!Print_Area</vt:lpstr>
      <vt:lpstr>'2025-26 SPU Distr'!Print_Area</vt:lpstr>
    </vt:vector>
  </TitlesOfParts>
  <Manager/>
  <Company>State of Tennessee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CB50111</dc:creator>
  <cp:keywords/>
  <dc:description/>
  <cp:lastModifiedBy>Julia Ahrns Hoffman</cp:lastModifiedBy>
  <cp:revision/>
  <cp:lastPrinted>2025-02-20T20:11:21Z</cp:lastPrinted>
  <dcterms:created xsi:type="dcterms:W3CDTF">2011-03-14T18:34:44Z</dcterms:created>
  <dcterms:modified xsi:type="dcterms:W3CDTF">2025-11-13T20:37:48Z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0x010100498EE058AFD7F648AA9B7D688387BF6E</vt:lpwstr>
  </property>
</Properties>
</file>