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Fiscal\Fiscal Policy\STAY_OUT\FY2023-24\Reports\Governor's Budget\"/>
    </mc:Choice>
  </mc:AlternateContent>
  <xr:revisionPtr revIDLastSave="0" documentId="13_ncr:1_{B61498C3-6C55-44ED-8A96-E45E9885446B}" xr6:coauthVersionLast="47" xr6:coauthVersionMax="47" xr10:uidLastSave="{00000000-0000-0000-0000-000000000000}"/>
  <bookViews>
    <workbookView xWindow="-120" yWindow="-120" windowWidth="20730" windowHeight="11160" xr2:uid="{00000000-000D-0000-FFFF-FFFF00000000}"/>
  </bookViews>
  <sheets>
    <sheet name="2023-24 Form Distr" sheetId="1" r:id="rId1"/>
    <sheet name="2023-24 SPU Distr" sheetId="2" r:id="rId2"/>
  </sheets>
  <definedNames>
    <definedName name="A">#REF!</definedName>
    <definedName name="B">#REF!</definedName>
    <definedName name="cbh">#REF!</definedName>
    <definedName name="_xlnm.Print_Area" localSheetId="0">'2023-24 Form Distr'!$A$1:$P$27</definedName>
    <definedName name="_xlnm.Print_Area" localSheetId="1">'2023-24 SPU Distr'!$A$1:$O$84</definedName>
    <definedName name="russ">#REF!</definedName>
    <definedName name="SchedA">#REF!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C55" i="2"/>
  <c r="C35" i="2"/>
  <c r="F13" i="1"/>
  <c r="F19" i="1"/>
  <c r="F23" i="1" s="1"/>
  <c r="F27" i="1" s="1"/>
  <c r="E21" i="1" l="1"/>
  <c r="C17" i="1" l="1"/>
  <c r="L39" i="2"/>
  <c r="D39" i="2"/>
  <c r="K39" i="2" s="1"/>
  <c r="M39" i="2" l="1"/>
  <c r="N39" i="2"/>
  <c r="J31" i="2" l="1"/>
  <c r="I31" i="2"/>
  <c r="L69" i="2"/>
  <c r="D69" i="2"/>
  <c r="K69" i="2" s="1"/>
  <c r="M69" i="2" s="1"/>
  <c r="L68" i="2"/>
  <c r="D68" i="2"/>
  <c r="K68" i="2" s="1"/>
  <c r="N68" i="2" s="1"/>
  <c r="E13" i="1"/>
  <c r="G13" i="1"/>
  <c r="H13" i="1"/>
  <c r="N69" i="2" l="1"/>
  <c r="M68" i="2"/>
  <c r="L73" i="2" l="1"/>
  <c r="I64" i="2"/>
  <c r="I74" i="2" s="1"/>
  <c r="H11" i="2"/>
  <c r="H21" i="2"/>
  <c r="H26" i="2" s="1"/>
  <c r="H32" i="2"/>
  <c r="H37" i="2"/>
  <c r="H64" i="2"/>
  <c r="H74" i="2" s="1"/>
  <c r="H51" i="2" l="1"/>
  <c r="H53" i="2"/>
  <c r="J37" i="2"/>
  <c r="I37" i="2"/>
  <c r="G37" i="2"/>
  <c r="F37" i="2"/>
  <c r="E37" i="2"/>
  <c r="C37" i="2"/>
  <c r="L50" i="2"/>
  <c r="D50" i="2"/>
  <c r="K50" i="2" l="1"/>
  <c r="N50" i="2" s="1"/>
  <c r="M50" i="2" l="1"/>
  <c r="C21" i="2"/>
  <c r="L29" i="2"/>
  <c r="D29" i="2" l="1"/>
  <c r="B37" i="2"/>
  <c r="K29" i="2" l="1"/>
  <c r="O29" i="2" s="1"/>
  <c r="D17" i="1"/>
  <c r="M29" i="2" l="1"/>
  <c r="N29" i="2"/>
  <c r="L17" i="1"/>
  <c r="B3" i="2" l="1"/>
  <c r="J64" i="2" l="1"/>
  <c r="L7" i="2"/>
  <c r="L78" i="2" l="1"/>
  <c r="D73" i="2"/>
  <c r="C64" i="2"/>
  <c r="L49" i="2" l="1"/>
  <c r="L72" i="2"/>
  <c r="L71" i="2"/>
  <c r="L70" i="2"/>
  <c r="L67" i="2"/>
  <c r="L66" i="2"/>
  <c r="K73" i="2" l="1"/>
  <c r="L23" i="2"/>
  <c r="J21" i="2"/>
  <c r="J26" i="2" s="1"/>
  <c r="I21" i="2"/>
  <c r="I26" i="2" s="1"/>
  <c r="G21" i="2"/>
  <c r="G26" i="2" s="1"/>
  <c r="F21" i="2"/>
  <c r="F26" i="2" s="1"/>
  <c r="E21" i="2"/>
  <c r="E26" i="2" s="1"/>
  <c r="C26" i="2"/>
  <c r="L22" i="2"/>
  <c r="M73" i="2" l="1"/>
  <c r="O73" i="2"/>
  <c r="L21" i="2"/>
  <c r="A1" i="2" l="1"/>
  <c r="L48" i="2" l="1"/>
  <c r="C34" i="1" l="1"/>
  <c r="E34" i="1"/>
  <c r="G34" i="1"/>
  <c r="H34" i="1"/>
  <c r="I34" i="1"/>
  <c r="J34" i="1"/>
  <c r="K34" i="1"/>
  <c r="L80" i="2" l="1"/>
  <c r="D80" i="2"/>
  <c r="K80" i="2" l="1"/>
  <c r="N80" i="2" l="1"/>
  <c r="M80" i="2"/>
  <c r="L42" i="2" l="1"/>
  <c r="L41" i="2"/>
  <c r="L40" i="2"/>
  <c r="G32" i="1" l="1"/>
  <c r="C10" i="2" l="1"/>
  <c r="E11" i="2"/>
  <c r="F11" i="2"/>
  <c r="I11" i="2"/>
  <c r="J11" i="2"/>
  <c r="L82" i="2"/>
  <c r="L65" i="2"/>
  <c r="L64" i="2" s="1"/>
  <c r="L63" i="2"/>
  <c r="L62" i="2"/>
  <c r="L61" i="2"/>
  <c r="L60" i="2"/>
  <c r="L59" i="2"/>
  <c r="L58" i="2"/>
  <c r="L46" i="2"/>
  <c r="L45" i="2"/>
  <c r="L44" i="2"/>
  <c r="L43" i="2"/>
  <c r="L38" i="2"/>
  <c r="L36" i="2"/>
  <c r="L35" i="2"/>
  <c r="L34" i="2"/>
  <c r="L33" i="2"/>
  <c r="L31" i="2"/>
  <c r="L30" i="2"/>
  <c r="L25" i="2"/>
  <c r="L24" i="2"/>
  <c r="L20" i="2"/>
  <c r="L19" i="2"/>
  <c r="L18" i="2"/>
  <c r="L17" i="2"/>
  <c r="L16" i="2"/>
  <c r="L15" i="2"/>
  <c r="L14" i="2"/>
  <c r="L10" i="2"/>
  <c r="L9" i="2"/>
  <c r="L8" i="2"/>
  <c r="M25" i="1"/>
  <c r="M21" i="1"/>
  <c r="M18" i="1"/>
  <c r="M17" i="1"/>
  <c r="N17" i="1" s="1"/>
  <c r="M16" i="1"/>
  <c r="M12" i="1"/>
  <c r="M11" i="1"/>
  <c r="M10" i="1"/>
  <c r="M9" i="1"/>
  <c r="M8" i="1"/>
  <c r="M7" i="1"/>
  <c r="M34" i="1" l="1"/>
  <c r="L26" i="2"/>
  <c r="C11" i="2"/>
  <c r="L11" i="2"/>
  <c r="J74" i="2"/>
  <c r="G64" i="2"/>
  <c r="G74" i="2" s="1"/>
  <c r="F64" i="2"/>
  <c r="F74" i="2" s="1"/>
  <c r="E64" i="2"/>
  <c r="E74" i="2" s="1"/>
  <c r="C74" i="2"/>
  <c r="L74" i="2"/>
  <c r="G11" i="2" l="1"/>
  <c r="N73" i="2" l="1"/>
  <c r="L47" i="2" l="1"/>
  <c r="L37" i="2" s="1"/>
  <c r="C32" i="2"/>
  <c r="C51" i="2" s="1"/>
  <c r="I32" i="1" l="1"/>
  <c r="E32" i="1"/>
  <c r="C32" i="1"/>
  <c r="E32" i="2"/>
  <c r="E51" i="2" s="1"/>
  <c r="F32" i="2"/>
  <c r="F51" i="2" s="1"/>
  <c r="F53" i="2" s="1"/>
  <c r="G32" i="2"/>
  <c r="G51" i="2" s="1"/>
  <c r="I32" i="2"/>
  <c r="I51" i="2" s="1"/>
  <c r="J32" i="2"/>
  <c r="J51" i="2" s="1"/>
  <c r="C13" i="1"/>
  <c r="C33" i="1" s="1"/>
  <c r="I13" i="1"/>
  <c r="I33" i="1" s="1"/>
  <c r="E33" i="1"/>
  <c r="G33" i="1"/>
  <c r="J13" i="1"/>
  <c r="J33" i="1" s="1"/>
  <c r="K13" i="1"/>
  <c r="C19" i="1"/>
  <c r="I19" i="1"/>
  <c r="E19" i="1"/>
  <c r="G19" i="1"/>
  <c r="J19" i="1"/>
  <c r="K19" i="1"/>
  <c r="J32" i="1"/>
  <c r="K32" i="1"/>
  <c r="K33" i="1" l="1"/>
  <c r="K23" i="1"/>
  <c r="K27" i="1" s="1"/>
  <c r="K35" i="1" s="1"/>
  <c r="L32" i="2"/>
  <c r="L51" i="2" s="1"/>
  <c r="C53" i="2"/>
  <c r="C76" i="2" s="1"/>
  <c r="J53" i="2"/>
  <c r="I53" i="2"/>
  <c r="E53" i="2"/>
  <c r="E23" i="1"/>
  <c r="E27" i="1" s="1"/>
  <c r="I23" i="1"/>
  <c r="I27" i="1" s="1"/>
  <c r="J23" i="1"/>
  <c r="J27" i="1" s="1"/>
  <c r="J35" i="1" s="1"/>
  <c r="C23" i="1"/>
  <c r="C27" i="1" s="1"/>
  <c r="M32" i="1"/>
  <c r="M13" i="1"/>
  <c r="M19" i="1"/>
  <c r="G23" i="1"/>
  <c r="G27" i="1" s="1"/>
  <c r="G35" i="1" s="1"/>
  <c r="H32" i="1"/>
  <c r="H19" i="1"/>
  <c r="H33" i="1"/>
  <c r="G53" i="2"/>
  <c r="E35" i="1" l="1"/>
  <c r="I35" i="1"/>
  <c r="H55" i="2"/>
  <c r="H76" i="2" s="1"/>
  <c r="H84" i="2" s="1"/>
  <c r="M33" i="1"/>
  <c r="M23" i="1"/>
  <c r="M27" i="1" s="1"/>
  <c r="M35" i="1" s="1"/>
  <c r="C35" i="1"/>
  <c r="C84" i="2"/>
  <c r="J55" i="2"/>
  <c r="F55" i="2"/>
  <c r="F76" i="2" s="1"/>
  <c r="F84" i="2" s="1"/>
  <c r="L53" i="2"/>
  <c r="I55" i="2"/>
  <c r="E55" i="2"/>
  <c r="E76" i="2" s="1"/>
  <c r="E84" i="2" s="1"/>
  <c r="H23" i="1"/>
  <c r="H27" i="1" s="1"/>
  <c r="G55" i="2" s="1"/>
  <c r="G76" i="2" s="1"/>
  <c r="G84" i="2" s="1"/>
  <c r="I76" i="2" l="1"/>
  <c r="I84" i="2" s="1"/>
  <c r="H35" i="1"/>
  <c r="L55" i="2"/>
  <c r="L76" i="2" s="1"/>
  <c r="L84" i="2" s="1"/>
  <c r="J76" i="2"/>
  <c r="J84" i="2" s="1"/>
  <c r="B64" i="2" l="1"/>
  <c r="B74" i="2" s="1"/>
  <c r="D70" i="2" l="1"/>
  <c r="D67" i="2"/>
  <c r="D66" i="2"/>
  <c r="D71" i="2"/>
  <c r="D78" i="2"/>
  <c r="D72" i="2"/>
  <c r="K66" i="2" l="1"/>
  <c r="O66" i="2" s="1"/>
  <c r="K78" i="2"/>
  <c r="K70" i="2"/>
  <c r="K72" i="2"/>
  <c r="O72" i="2" s="1"/>
  <c r="K71" i="2"/>
  <c r="O71" i="2" s="1"/>
  <c r="K67" i="2"/>
  <c r="O67" i="2" s="1"/>
  <c r="M71" i="2" l="1"/>
  <c r="N71" i="2"/>
  <c r="M70" i="2"/>
  <c r="N70" i="2"/>
  <c r="D65" i="2"/>
  <c r="M67" i="2"/>
  <c r="N67" i="2"/>
  <c r="M72" i="2"/>
  <c r="N72" i="2"/>
  <c r="N78" i="2"/>
  <c r="M78" i="2"/>
  <c r="O78" i="2"/>
  <c r="N66" i="2"/>
  <c r="M66" i="2"/>
  <c r="D64" i="2" l="1"/>
  <c r="K65" i="2"/>
  <c r="M65" i="2" l="1"/>
  <c r="O65" i="2"/>
  <c r="N65" i="2"/>
  <c r="N64" i="2" s="1"/>
  <c r="K64" i="2"/>
  <c r="O64" i="2" s="1"/>
  <c r="D49" i="2"/>
  <c r="K49" i="2" l="1"/>
  <c r="M64" i="2"/>
  <c r="N49" i="2" l="1"/>
  <c r="M49" i="2"/>
  <c r="D48" i="2" l="1"/>
  <c r="K48" i="2" l="1"/>
  <c r="N48" i="2" l="1"/>
  <c r="M48" i="2"/>
  <c r="D42" i="2" l="1"/>
  <c r="D40" i="2"/>
  <c r="D41" i="2"/>
  <c r="D44" i="2"/>
  <c r="D46" i="2"/>
  <c r="D43" i="2"/>
  <c r="D45" i="2"/>
  <c r="K40" i="2" l="1"/>
  <c r="K43" i="2"/>
  <c r="K44" i="2"/>
  <c r="K41" i="2"/>
  <c r="K42" i="2"/>
  <c r="K45" i="2"/>
  <c r="K46" i="2"/>
  <c r="N43" i="2" l="1"/>
  <c r="M43" i="2"/>
  <c r="O43" i="2"/>
  <c r="O41" i="2"/>
  <c r="N41" i="2"/>
  <c r="M41" i="2"/>
  <c r="M45" i="2"/>
  <c r="N45" i="2"/>
  <c r="N42" i="2"/>
  <c r="O42" i="2"/>
  <c r="M42" i="2"/>
  <c r="O44" i="2"/>
  <c r="N44" i="2"/>
  <c r="M44" i="2"/>
  <c r="O40" i="2"/>
  <c r="M40" i="2"/>
  <c r="N40" i="2"/>
  <c r="N46" i="2"/>
  <c r="M46" i="2"/>
  <c r="D47" i="2" l="1"/>
  <c r="D36" i="2"/>
  <c r="K47" i="2" l="1"/>
  <c r="K36" i="2"/>
  <c r="D82" i="2" l="1"/>
  <c r="N47" i="2"/>
  <c r="M47" i="2"/>
  <c r="N36" i="2"/>
  <c r="M36" i="2"/>
  <c r="O36" i="2"/>
  <c r="K82" i="2" l="1"/>
  <c r="O82" i="2" l="1"/>
  <c r="N82" i="2"/>
  <c r="M82" i="2"/>
  <c r="D33" i="2" l="1"/>
  <c r="D63" i="2"/>
  <c r="D61" i="2"/>
  <c r="D35" i="2"/>
  <c r="D62" i="2"/>
  <c r="D60" i="2"/>
  <c r="K62" i="2" l="1"/>
  <c r="K60" i="2"/>
  <c r="K35" i="2"/>
  <c r="K61" i="2"/>
  <c r="K63" i="2"/>
  <c r="K33" i="2"/>
  <c r="N61" i="2" l="1"/>
  <c r="O61" i="2"/>
  <c r="M61" i="2"/>
  <c r="N35" i="2"/>
  <c r="O35" i="2"/>
  <c r="M35" i="2"/>
  <c r="N60" i="2"/>
  <c r="M60" i="2"/>
  <c r="O60" i="2"/>
  <c r="N33" i="2"/>
  <c r="O33" i="2"/>
  <c r="M33" i="2"/>
  <c r="N63" i="2"/>
  <c r="O63" i="2"/>
  <c r="M63" i="2"/>
  <c r="O62" i="2"/>
  <c r="M62" i="2"/>
  <c r="N62" i="2"/>
  <c r="D23" i="2" l="1"/>
  <c r="K23" i="2" l="1"/>
  <c r="B21" i="2"/>
  <c r="D22" i="2"/>
  <c r="K22" i="2" l="1"/>
  <c r="D21" i="2"/>
  <c r="M23" i="2"/>
  <c r="N23" i="2"/>
  <c r="O23" i="2"/>
  <c r="N22" i="2" l="1"/>
  <c r="N21" i="2" s="1"/>
  <c r="K21" i="2"/>
  <c r="O22" i="2"/>
  <c r="M22" i="2"/>
  <c r="D9" i="2" l="1"/>
  <c r="O21" i="2"/>
  <c r="M21" i="2"/>
  <c r="K9" i="2" l="1"/>
  <c r="D10" i="2" l="1"/>
  <c r="M9" i="2"/>
  <c r="O9" i="2"/>
  <c r="N9" i="2"/>
  <c r="K10" i="2" l="1"/>
  <c r="O10" i="2" l="1"/>
  <c r="N10" i="2"/>
  <c r="M10" i="2"/>
  <c r="D38" i="2" l="1"/>
  <c r="D37" i="2" l="1"/>
  <c r="D21" i="1"/>
  <c r="K38" i="2"/>
  <c r="K37" i="2" s="1"/>
  <c r="L21" i="1" l="1"/>
  <c r="O21" i="1" s="1"/>
  <c r="O37" i="2"/>
  <c r="O38" i="2"/>
  <c r="N38" i="2"/>
  <c r="N37" i="2" s="1"/>
  <c r="M38" i="2"/>
  <c r="M37" i="2" l="1"/>
  <c r="P21" i="1"/>
  <c r="N21" i="1"/>
  <c r="D15" i="2"/>
  <c r="D24" i="2"/>
  <c r="D19" i="2"/>
  <c r="D9" i="1"/>
  <c r="D25" i="2"/>
  <c r="D17" i="2"/>
  <c r="D10" i="1"/>
  <c r="D59" i="2"/>
  <c r="D16" i="2"/>
  <c r="D30" i="2"/>
  <c r="D25" i="1"/>
  <c r="B34" i="1"/>
  <c r="D20" i="2"/>
  <c r="D31" i="2"/>
  <c r="D8" i="1"/>
  <c r="D8" i="2"/>
  <c r="D7" i="1"/>
  <c r="B13" i="1"/>
  <c r="B33" i="1" s="1"/>
  <c r="D11" i="1"/>
  <c r="D18" i="1"/>
  <c r="D12" i="1"/>
  <c r="D18" i="2"/>
  <c r="D16" i="1"/>
  <c r="B32" i="1"/>
  <c r="B19" i="1"/>
  <c r="K16" i="2" l="1"/>
  <c r="K15" i="2"/>
  <c r="L18" i="1"/>
  <c r="P18" i="1" s="1"/>
  <c r="L11" i="1"/>
  <c r="O11" i="1" s="1"/>
  <c r="L10" i="1"/>
  <c r="P10" i="1" s="1"/>
  <c r="L12" i="1"/>
  <c r="N12" i="1" s="1"/>
  <c r="L16" i="1"/>
  <c r="L25" i="1"/>
  <c r="O25" i="1" s="1"/>
  <c r="O34" i="1" s="1"/>
  <c r="L8" i="1"/>
  <c r="P8" i="1" s="1"/>
  <c r="L9" i="1"/>
  <c r="O9" i="1" s="1"/>
  <c r="B23" i="1"/>
  <c r="B27" i="1" s="1"/>
  <c r="L7" i="1"/>
  <c r="D32" i="1"/>
  <c r="D19" i="1"/>
  <c r="K18" i="2"/>
  <c r="B11" i="2"/>
  <c r="D7" i="2"/>
  <c r="K20" i="2"/>
  <c r="K19" i="2"/>
  <c r="K31" i="2"/>
  <c r="D34" i="1"/>
  <c r="K30" i="2"/>
  <c r="O17" i="1"/>
  <c r="P17" i="1"/>
  <c r="D58" i="2"/>
  <c r="K25" i="2"/>
  <c r="D13" i="1"/>
  <c r="K17" i="2"/>
  <c r="K24" i="2"/>
  <c r="D34" i="2"/>
  <c r="B32" i="2"/>
  <c r="B51" i="2" s="1"/>
  <c r="K8" i="2"/>
  <c r="K59" i="2"/>
  <c r="P11" i="1" l="1"/>
  <c r="N11" i="1"/>
  <c r="N10" i="1"/>
  <c r="L32" i="1"/>
  <c r="O10" i="1"/>
  <c r="B35" i="1"/>
  <c r="L34" i="1"/>
  <c r="O12" i="1"/>
  <c r="O18" i="1"/>
  <c r="L19" i="1"/>
  <c r="P19" i="1" s="1"/>
  <c r="N18" i="1"/>
  <c r="O16" i="1"/>
  <c r="P16" i="1"/>
  <c r="N16" i="1"/>
  <c r="N25" i="1"/>
  <c r="P25" i="1"/>
  <c r="O8" i="1"/>
  <c r="N9" i="1"/>
  <c r="P9" i="1"/>
  <c r="O7" i="1"/>
  <c r="N8" i="1"/>
  <c r="P12" i="1"/>
  <c r="L13" i="1"/>
  <c r="N7" i="1"/>
  <c r="P7" i="1"/>
  <c r="D11" i="2"/>
  <c r="D23" i="1"/>
  <c r="O30" i="2"/>
  <c r="N30" i="2"/>
  <c r="M30" i="2"/>
  <c r="N59" i="2"/>
  <c r="M59" i="2"/>
  <c r="O59" i="2"/>
  <c r="N16" i="2"/>
  <c r="O16" i="2"/>
  <c r="M16" i="2"/>
  <c r="M8" i="2"/>
  <c r="O8" i="2"/>
  <c r="N8" i="2"/>
  <c r="O15" i="2"/>
  <c r="N15" i="2"/>
  <c r="M15" i="2"/>
  <c r="M17" i="2"/>
  <c r="O17" i="2"/>
  <c r="N17" i="2"/>
  <c r="O19" i="2"/>
  <c r="N19" i="2"/>
  <c r="M19" i="2"/>
  <c r="O20" i="2"/>
  <c r="M20" i="2"/>
  <c r="N20" i="2"/>
  <c r="K34" i="2"/>
  <c r="D32" i="2"/>
  <c r="M24" i="2"/>
  <c r="O24" i="2"/>
  <c r="N24" i="2"/>
  <c r="D33" i="1"/>
  <c r="D74" i="2"/>
  <c r="K58" i="2"/>
  <c r="D14" i="2"/>
  <c r="B26" i="2"/>
  <c r="M25" i="2"/>
  <c r="O25" i="2"/>
  <c r="N25" i="2"/>
  <c r="N31" i="2"/>
  <c r="O31" i="2"/>
  <c r="M31" i="2"/>
  <c r="N18" i="2"/>
  <c r="O18" i="2"/>
  <c r="M18" i="2"/>
  <c r="D51" i="2" l="1"/>
  <c r="O19" i="1"/>
  <c r="O13" i="1"/>
  <c r="O33" i="1" s="1"/>
  <c r="O32" i="1"/>
  <c r="N32" i="1"/>
  <c r="L23" i="1"/>
  <c r="L27" i="1" s="1"/>
  <c r="N19" i="1"/>
  <c r="N34" i="1"/>
  <c r="L33" i="1"/>
  <c r="P13" i="1"/>
  <c r="N13" i="1"/>
  <c r="B53" i="2"/>
  <c r="D27" i="1"/>
  <c r="K14" i="2"/>
  <c r="D26" i="2"/>
  <c r="K74" i="2"/>
  <c r="O74" i="2" s="1"/>
  <c r="O58" i="2"/>
  <c r="N58" i="2"/>
  <c r="N74" i="2" s="1"/>
  <c r="M58" i="2"/>
  <c r="N34" i="2"/>
  <c r="N32" i="2" s="1"/>
  <c r="N51" i="2" s="1"/>
  <c r="O34" i="2"/>
  <c r="M34" i="2"/>
  <c r="K32" i="2"/>
  <c r="K51" i="2" s="1"/>
  <c r="O51" i="2" s="1"/>
  <c r="M7" i="2"/>
  <c r="N7" i="2"/>
  <c r="N11" i="2" s="1"/>
  <c r="K11" i="2"/>
  <c r="O7" i="2"/>
  <c r="P23" i="1" l="1"/>
  <c r="O23" i="1"/>
  <c r="O27" i="1" s="1"/>
  <c r="N33" i="1"/>
  <c r="N23" i="1"/>
  <c r="D53" i="2"/>
  <c r="O32" i="2"/>
  <c r="O11" i="2"/>
  <c r="M32" i="2"/>
  <c r="M74" i="2"/>
  <c r="P27" i="1"/>
  <c r="L35" i="1"/>
  <c r="D35" i="1"/>
  <c r="M11" i="2"/>
  <c r="B55" i="2"/>
  <c r="N14" i="2"/>
  <c r="N26" i="2" s="1"/>
  <c r="N53" i="2" s="1"/>
  <c r="O14" i="2"/>
  <c r="M14" i="2"/>
  <c r="K26" i="2"/>
  <c r="O26" i="2" s="1"/>
  <c r="N55" i="2" l="1"/>
  <c r="N76" i="2" s="1"/>
  <c r="N84" i="2" s="1"/>
  <c r="O35" i="1"/>
  <c r="N27" i="1"/>
  <c r="N35" i="1" s="1"/>
  <c r="M51" i="2"/>
  <c r="D55" i="2"/>
  <c r="K53" i="2"/>
  <c r="M26" i="2"/>
  <c r="B76" i="2"/>
  <c r="D76" i="2" l="1"/>
  <c r="D84" i="2"/>
  <c r="M53" i="2"/>
  <c r="O53" i="2"/>
  <c r="K55" i="2"/>
  <c r="B84" i="2"/>
  <c r="K76" i="2" l="1"/>
  <c r="O55" i="2"/>
  <c r="M55" i="2"/>
  <c r="M76" i="2" l="1"/>
  <c r="K84" i="2"/>
  <c r="O84" i="2" s="1"/>
  <c r="O76" i="2"/>
  <c r="M84" i="2" l="1"/>
  <c r="M8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K7" authorId="0" shapeId="0" xr:uid="{FBCC1D15-0A34-45E8-B0AA-DBE005839058}">
      <text>
        <r>
          <rPr>
            <b/>
            <sz val="9"/>
            <color indexed="81"/>
            <rFont val="Tahoma"/>
            <family val="2"/>
          </rPr>
          <t>Crystal Collins:</t>
        </r>
        <r>
          <rPr>
            <sz val="9"/>
            <color indexed="81"/>
            <rFont val="Tahoma"/>
            <family val="2"/>
          </rPr>
          <t xml:space="preserve">
To provide non-recurring funding to support the cybersecurity initiative. Year 3 of 3. B-99</t>
        </r>
      </text>
    </comment>
    <comment ref="J11" authorId="0" shapeId="0" xr:uid="{24A471F4-481B-43AD-82C6-9101A251C25A}">
      <text>
        <r>
          <rPr>
            <b/>
            <sz val="9"/>
            <color indexed="81"/>
            <rFont val="Tahoma"/>
            <family val="2"/>
          </rPr>
          <t>Crystal Collins:</t>
        </r>
        <r>
          <rPr>
            <sz val="9"/>
            <color indexed="81"/>
            <rFont val="Tahoma"/>
            <family val="2"/>
          </rPr>
          <t xml:space="preserve">
To provide recurring funding to support the Cybersecurity Education, Research and Outreach Center. Additional $200,000 non-recurring. B-99</t>
        </r>
      </text>
    </comment>
    <comment ref="K11" authorId="0" shapeId="0" xr:uid="{D4261ABC-A6CB-4B40-8715-BA7B5A8FBA7A}">
      <text>
        <r>
          <rPr>
            <b/>
            <sz val="9"/>
            <color indexed="81"/>
            <rFont val="Tahoma"/>
            <family val="2"/>
          </rPr>
          <t>Crystal Collins:</t>
        </r>
        <r>
          <rPr>
            <sz val="9"/>
            <color indexed="81"/>
            <rFont val="Tahoma"/>
            <family val="2"/>
          </rPr>
          <t xml:space="preserve">
To provide non-recurring funding to support the Cybersecurity Education, Research and Outreach Center. Additional $1,000,000 recurring. B-99</t>
        </r>
      </text>
    </comment>
    <comment ref="C17" authorId="0" shapeId="0" xr:uid="{416BEBA3-BD79-427F-9792-B9EED0AE80E3}">
      <text>
        <r>
          <rPr>
            <b/>
            <sz val="9"/>
            <color indexed="81"/>
            <rFont val="Tahoma"/>
            <family val="2"/>
          </rPr>
          <t>Crystal Collins:</t>
        </r>
        <r>
          <rPr>
            <sz val="9"/>
            <color indexed="81"/>
            <rFont val="Tahoma"/>
            <family val="2"/>
          </rPr>
          <t xml:space="preserve">
$300 rounding error from American Civics allocation in FY23.</t>
        </r>
      </text>
    </comment>
    <comment ref="K25" authorId="0" shapeId="0" xr:uid="{608696C1-47DC-4D41-BE94-203C436DA31F}">
      <text>
        <r>
          <rPr>
            <b/>
            <sz val="9"/>
            <color indexed="81"/>
            <rFont val="Tahoma"/>
            <family val="2"/>
          </rPr>
          <t>Crystal Collins:</t>
        </r>
        <r>
          <rPr>
            <sz val="9"/>
            <color indexed="81"/>
            <rFont val="Tahoma"/>
            <family val="2"/>
          </rPr>
          <t xml:space="preserve">
To provide non-recurring funding for instructional equipment at the Blue Oval City TCAT. B-96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I31" authorId="0" shapeId="0" xr:uid="{53C84663-64A6-47D3-83C2-430010A7C584}">
      <text>
        <r>
          <rPr>
            <b/>
            <sz val="9"/>
            <color indexed="81"/>
            <rFont val="Tahoma"/>
            <family val="2"/>
          </rPr>
          <t>Crystal Collins:</t>
        </r>
        <r>
          <rPr>
            <sz val="9"/>
            <color indexed="81"/>
            <rFont val="Tahoma"/>
            <family val="2"/>
          </rPr>
          <t xml:space="preserve">
$350,000 - To provide recurring funding for increased enrollment in the Correctional Education Investment Initiative. Additional $790,000 non-recurring. (B-97)</t>
        </r>
      </text>
    </comment>
    <comment ref="J31" authorId="0" shapeId="0" xr:uid="{48883F1D-EAEA-4E9C-9B96-99FD43FA398C}">
      <text>
        <r>
          <rPr>
            <b/>
            <sz val="9"/>
            <color indexed="81"/>
            <rFont val="Tahoma"/>
            <family val="2"/>
          </rPr>
          <t>Crystal Collins:</t>
        </r>
        <r>
          <rPr>
            <sz val="9"/>
            <color indexed="81"/>
            <rFont val="Tahoma"/>
            <family val="2"/>
          </rPr>
          <t xml:space="preserve">
$790,000 - To provide non-recurring funding for increased enrollment in the Correctional Education Investment Initiative. Additional $350,000 recurring. (B-97)</t>
        </r>
      </text>
    </comment>
    <comment ref="C35" authorId="0" shapeId="0" xr:uid="{8A00F344-3587-4F10-A93C-8BB11F3A43E1}">
      <text>
        <r>
          <rPr>
            <b/>
            <sz val="9"/>
            <color indexed="81"/>
            <rFont val="Tahoma"/>
            <family val="2"/>
          </rPr>
          <t>Crystal Collins:</t>
        </r>
        <r>
          <rPr>
            <sz val="9"/>
            <color indexed="81"/>
            <rFont val="Tahoma"/>
            <family val="2"/>
          </rPr>
          <t xml:space="preserve">
Teaching Scholars Program (A-29)</t>
        </r>
      </text>
    </comment>
    <comment ref="E39" authorId="0" shapeId="0" xr:uid="{B39A4597-D57F-437B-AAB4-7D491216A4A4}">
      <text>
        <r>
          <rPr>
            <b/>
            <sz val="9"/>
            <color indexed="81"/>
            <rFont val="Tahoma"/>
            <family val="2"/>
          </rPr>
          <t>Crystal Collins:</t>
        </r>
        <r>
          <rPr>
            <sz val="9"/>
            <color indexed="81"/>
            <rFont val="Tahoma"/>
            <family val="2"/>
          </rPr>
          <t xml:space="preserve">
To provide recurring funding for the reverse transfer portal. The portal provides a technological clearinghouse for all degree requirements at community colleges and universities, allowing universities to identify when students qualify for an associate degree. B-94</t>
        </r>
      </text>
    </comment>
    <comment ref="D40" authorId="0" shapeId="0" xr:uid="{00000000-0006-0000-0100-00000A000000}">
      <text>
        <r>
          <rPr>
            <b/>
            <sz val="9"/>
            <color indexed="81"/>
            <rFont val="Tahoma"/>
            <family val="2"/>
          </rPr>
          <t>Crystal Collins:</t>
        </r>
        <r>
          <rPr>
            <sz val="9"/>
            <color indexed="81"/>
            <rFont val="Tahoma"/>
            <family val="2"/>
          </rPr>
          <t xml:space="preserve">
Recurring funding for one full-time position related to college completion initiatives for minority students at public and private institutions.
Section 57, Item 1-17</t>
        </r>
      </text>
    </comment>
    <comment ref="D41" authorId="0" shapeId="0" xr:uid="{00000000-0006-0000-0100-00000B000000}">
      <text>
        <r>
          <rPr>
            <b/>
            <sz val="9"/>
            <color indexed="81"/>
            <rFont val="Tahoma"/>
            <family val="2"/>
          </rPr>
          <t>Crystal Collins:</t>
        </r>
        <r>
          <rPr>
            <sz val="9"/>
            <color indexed="81"/>
            <rFont val="Tahoma"/>
            <family val="2"/>
          </rPr>
          <t xml:space="preserve">
To provide recurring funds for a position to administer the Tennessee Reconnect program, which aims to help adults enter higher education so that they may gain new skills, advance in the workplace, and earn a degree or credential.</t>
        </r>
      </text>
    </comment>
    <comment ref="D42" authorId="0" shapeId="0" xr:uid="{00000000-0006-0000-0100-00000C000000}">
      <text>
        <r>
          <rPr>
            <b/>
            <sz val="9"/>
            <color indexed="81"/>
            <rFont val="Tahoma"/>
            <family val="2"/>
          </rPr>
          <t>Crystal Collins:</t>
        </r>
        <r>
          <rPr>
            <sz val="9"/>
            <color indexed="81"/>
            <rFont val="Tahoma"/>
            <family val="2"/>
          </rPr>
          <t xml:space="preserve">
To provide recurring funds for a position that will be responsible for coordinating the newly created capital project structure under the FOCUS Act.</t>
        </r>
      </text>
    </comment>
    <comment ref="D43" authorId="0" shapeId="0" xr:uid="{00000000-0006-0000-0100-00000D000000}">
      <text>
        <r>
          <rPr>
            <b/>
            <sz val="9"/>
            <color indexed="81"/>
            <rFont val="Tahoma"/>
            <family val="2"/>
          </rPr>
          <t>Crystal Collins:</t>
        </r>
        <r>
          <rPr>
            <sz val="9"/>
            <color indexed="81"/>
            <rFont val="Tahoma"/>
            <family val="2"/>
          </rPr>
          <t xml:space="preserve">
To provide funds for a position that will provide increased capacity to manage the daily operations of Drive to 55 and Tennessee Promise Initiatives.</t>
        </r>
      </text>
    </comment>
    <comment ref="D45" authorId="0" shapeId="0" xr:uid="{00000000-0006-0000-0100-00000E000000}">
      <text>
        <r>
          <rPr>
            <b/>
            <sz val="9"/>
            <color indexed="81"/>
            <rFont val="Tahoma"/>
            <family val="2"/>
          </rPr>
          <t>Crystal Collins:</t>
        </r>
        <r>
          <rPr>
            <sz val="9"/>
            <color indexed="81"/>
            <rFont val="Tahoma"/>
            <family val="2"/>
          </rPr>
          <t xml:space="preserve">
To provide funding for one-on-one assistance for students during the college admissions and financial aid application processes and throughout the transition from high school to higher education. Funding for 3 positions.</t>
        </r>
      </text>
    </comment>
    <comment ref="D46" authorId="0" shapeId="0" xr:uid="{00000000-0006-0000-0100-00000F000000}">
      <text>
        <r>
          <rPr>
            <b/>
            <sz val="9"/>
            <color indexed="81"/>
            <rFont val="Tahoma"/>
            <family val="2"/>
          </rPr>
          <t>Crystal Collins:</t>
        </r>
        <r>
          <rPr>
            <sz val="9"/>
            <color indexed="81"/>
            <rFont val="Tahoma"/>
            <family val="2"/>
          </rPr>
          <t xml:space="preserve">
To provide funding for positions that will provide administrative/fiscal oversight and leadership for the Adult Learner Program. The Adult Learner Program provides grants to institutions to locate and recruit adults with some college education but no degree to finish their degree.</t>
        </r>
      </text>
    </comment>
    <comment ref="D47" authorId="0" shapeId="0" xr:uid="{00000000-0006-0000-0100-000010000000}">
      <text>
        <r>
          <rPr>
            <b/>
            <sz val="9"/>
            <color indexed="81"/>
            <rFont val="Tahoma"/>
            <family val="2"/>
          </rPr>
          <t>Crystal Collins:</t>
        </r>
        <r>
          <rPr>
            <sz val="9"/>
            <color indexed="81"/>
            <rFont val="Tahoma"/>
            <family val="2"/>
          </rPr>
          <t xml:space="preserve">
To provide funding for a position that will provide coordination, adminstrative/fiscal oversight, and leadership for LEAPm which aims to eliminate skills gaps across the state in a proactive, data-driven, and coordinated manner by encouraging collaboration across education and industry.</t>
        </r>
      </text>
    </comment>
    <comment ref="D48" authorId="0" shapeId="0" xr:uid="{00000000-0006-0000-0100-000011000000}">
      <text>
        <r>
          <rPr>
            <b/>
            <sz val="9"/>
            <color indexed="81"/>
            <rFont val="Tahoma"/>
            <family val="2"/>
          </rPr>
          <t>Crystal Collins:</t>
        </r>
        <r>
          <rPr>
            <sz val="9"/>
            <color indexed="81"/>
            <rFont val="Tahoma"/>
            <family val="2"/>
          </rPr>
          <t xml:space="preserve">
To provide recurring funding for a position to administer fiscal affairs for the Tennessee Reconnect program.</t>
        </r>
      </text>
    </comment>
    <comment ref="D49" authorId="0" shapeId="0" xr:uid="{00000000-0006-0000-0100-000012000000}">
      <text>
        <r>
          <rPr>
            <b/>
            <sz val="9"/>
            <color indexed="81"/>
            <rFont val="Tahoma"/>
            <family val="2"/>
          </rPr>
          <t>Crystal Collins:</t>
        </r>
        <r>
          <rPr>
            <sz val="9"/>
            <color indexed="81"/>
            <rFont val="Tahoma"/>
            <family val="2"/>
          </rPr>
          <t xml:space="preserve">
To provide funding for personnel and equipment that will be utilized in the implementation of the Correctional Education Investment initiative. Recurring funding in the amount of $426,000 will be used for personnel. Non-recurring funding in the amount of $975,000 will be used for equipment.</t>
        </r>
      </text>
    </comment>
    <comment ref="B65" authorId="0" shapeId="0" xr:uid="{00000000-0006-0000-0100-000013000000}">
      <text>
        <r>
          <rPr>
            <b/>
            <sz val="9"/>
            <color indexed="81"/>
            <rFont val="Tahoma"/>
            <family val="2"/>
          </rPr>
          <t>Crystal Collins:</t>
        </r>
        <r>
          <rPr>
            <sz val="9"/>
            <color indexed="81"/>
            <rFont val="Tahoma"/>
            <family val="2"/>
          </rPr>
          <t xml:space="preserve">
Includes $1,000,000 for TN Reconnect Advisor Program Expansion through a reorg in 2015-16.</t>
        </r>
      </text>
    </comment>
    <comment ref="J68" authorId="0" shapeId="0" xr:uid="{7C15B964-8F10-4A47-AB37-DA00DAE9B612}">
      <text>
        <r>
          <rPr>
            <b/>
            <sz val="9"/>
            <color indexed="81"/>
            <rFont val="Tahoma"/>
            <family val="2"/>
          </rPr>
          <t>Crystal Collins:</t>
        </r>
        <r>
          <rPr>
            <sz val="9"/>
            <color indexed="81"/>
            <rFont val="Tahoma"/>
            <family val="2"/>
          </rPr>
          <t xml:space="preserve">
To provide non-recurring funding to increase capacity of the Navigate Reconnect program to provide pre-enrollment couseling and enrollment support for students in the Navigate Reconnect program. B-93</t>
        </r>
      </text>
    </comment>
    <comment ref="J69" authorId="0" shapeId="0" xr:uid="{637182E4-FF9D-4305-8FB2-DCE0EC846438}">
      <text>
        <r>
          <rPr>
            <b/>
            <sz val="9"/>
            <color indexed="81"/>
            <rFont val="Tahoma"/>
            <family val="2"/>
          </rPr>
          <t>Crystal Collins:</t>
        </r>
        <r>
          <rPr>
            <sz val="9"/>
            <color indexed="81"/>
            <rFont val="Tahoma"/>
            <family val="2"/>
          </rPr>
          <t xml:space="preserve">
To provide non-recurring funding for HBCU Summer Bridge programs that provide at-risk incoming students with targeted resources to increase success towards graduation. B-93</t>
        </r>
      </text>
    </comment>
    <comment ref="J70" authorId="0" shapeId="0" xr:uid="{D4C9897F-0203-46CE-B37F-79E89AA9B329}">
      <text>
        <r>
          <rPr>
            <b/>
            <sz val="9"/>
            <color indexed="81"/>
            <rFont val="Tahoma"/>
            <family val="2"/>
          </rPr>
          <t>Crystal Collins:</t>
        </r>
        <r>
          <rPr>
            <sz val="9"/>
            <color indexed="81"/>
            <rFont val="Tahoma"/>
            <family val="2"/>
          </rPr>
          <t xml:space="preserve">
To provide non-recurring funding for a structured summer academic program for Tennessee Promise students to address remediation needs and gain college success skills prior to enrolling in the fall semester. B-94</t>
        </r>
      </text>
    </comment>
    <comment ref="M84" authorId="0" shapeId="0" xr:uid="{00000000-0006-0000-0100-00001B000000}">
      <text>
        <r>
          <rPr>
            <b/>
            <sz val="9"/>
            <color indexed="81"/>
            <rFont val="Tahoma"/>
            <family val="2"/>
          </rPr>
          <t>Crystal Collins:</t>
        </r>
        <r>
          <rPr>
            <sz val="9"/>
            <color indexed="81"/>
            <rFont val="Tahoma"/>
            <family val="2"/>
          </rPr>
          <t xml:space="preserve">
Matches total in the State Appropriation in FY23-24 Recommended Governor's budget document. CLC 02082023</t>
        </r>
      </text>
    </comment>
  </commentList>
</comments>
</file>

<file path=xl/sharedStrings.xml><?xml version="1.0" encoding="utf-8"?>
<sst xmlns="http://schemas.openxmlformats.org/spreadsheetml/2006/main" count="173" uniqueCount="117">
  <si>
    <t>Academic Formula Units</t>
  </si>
  <si>
    <t>Austin Peay</t>
  </si>
  <si>
    <t>East Tennessee</t>
  </si>
  <si>
    <t>Middle Tennessee</t>
  </si>
  <si>
    <t>Tennessee State</t>
  </si>
  <si>
    <t>Tennessee Tech</t>
  </si>
  <si>
    <t xml:space="preserve">Subtotal </t>
  </si>
  <si>
    <t>Subtotal</t>
  </si>
  <si>
    <t>UT Universities</t>
  </si>
  <si>
    <t>UT Chattanooga</t>
  </si>
  <si>
    <t>UT Knoxville</t>
  </si>
  <si>
    <t>UT Martin</t>
  </si>
  <si>
    <t>Total Colleges and Universities</t>
  </si>
  <si>
    <t>Total Academic Formula Units</t>
  </si>
  <si>
    <t>Non-Recurring</t>
  </si>
  <si>
    <t>Recurring</t>
  </si>
  <si>
    <t>Percent Change</t>
  </si>
  <si>
    <t>Specialized Units</t>
  </si>
  <si>
    <t>Medical Education</t>
  </si>
  <si>
    <t>ETSU College of Medicine</t>
  </si>
  <si>
    <t>ETSU Family Practice</t>
  </si>
  <si>
    <t>Research and Public Service</t>
  </si>
  <si>
    <t>TSU McMinnville Center</t>
  </si>
  <si>
    <t>TSU Cooperative Extension</t>
  </si>
  <si>
    <t>UT Space Institute</t>
  </si>
  <si>
    <t>UT Institute for Public Service</t>
  </si>
  <si>
    <t>Other Specialized Units</t>
  </si>
  <si>
    <t>UT University-Wide Administration</t>
  </si>
  <si>
    <t>TN Board of Regents Administration</t>
  </si>
  <si>
    <t>TN Student Assistance Corporation</t>
  </si>
  <si>
    <t>Tennessee Students Assistance Corporation</t>
  </si>
  <si>
    <t>TN Higher Education Commission</t>
  </si>
  <si>
    <t>Contract Education</t>
  </si>
  <si>
    <t>Total Specialized Units</t>
  </si>
  <si>
    <t>Total Formula and Specialized Units</t>
  </si>
  <si>
    <t>Program Initiatives</t>
  </si>
  <si>
    <t>Campus Centers of Excellence</t>
  </si>
  <si>
    <t>Campus Centers of Emphasis</t>
  </si>
  <si>
    <t>UT Access and Diversity Initiative</t>
  </si>
  <si>
    <t>TBR Access and Diversity Initiative</t>
  </si>
  <si>
    <t>THEC Grants</t>
  </si>
  <si>
    <t>Research Initiatives - UT</t>
  </si>
  <si>
    <t>TSU McIntire-Stennis Forestry Research</t>
  </si>
  <si>
    <t>Insurance</t>
  </si>
  <si>
    <t>Base</t>
  </si>
  <si>
    <t>Salary</t>
  </si>
  <si>
    <t>Increase</t>
  </si>
  <si>
    <t>Appropriations</t>
  </si>
  <si>
    <t>Change in</t>
  </si>
  <si>
    <t>UT Municipal Technical Advisory Service</t>
  </si>
  <si>
    <t>UT County Technical Assistance Service</t>
  </si>
  <si>
    <t>UT College of Veterinary Medicine</t>
  </si>
  <si>
    <t>UT Agricultural Experiment Station</t>
  </si>
  <si>
    <t>UT Agricultural Extension Service</t>
  </si>
  <si>
    <t>TSU Institute of Agricultural and Environmental Research</t>
  </si>
  <si>
    <t>University of Memphis</t>
  </si>
  <si>
    <t>Community Colleges</t>
  </si>
  <si>
    <t>Outcomes/</t>
  </si>
  <si>
    <t>Productivity</t>
  </si>
  <si>
    <t>Loan/Scholarships Program</t>
  </si>
  <si>
    <t>Other</t>
  </si>
  <si>
    <t>UT Form</t>
  </si>
  <si>
    <t>TBR Form</t>
  </si>
  <si>
    <t>Revised</t>
  </si>
  <si>
    <t>Percent</t>
  </si>
  <si>
    <t>Change</t>
  </si>
  <si>
    <t>Tennessee Student Assistance Awards</t>
  </si>
  <si>
    <t>Match</t>
  </si>
  <si>
    <t>401k</t>
  </si>
  <si>
    <t>NA</t>
  </si>
  <si>
    <t>Cost Increases</t>
  </si>
  <si>
    <t>Total Higher Education</t>
  </si>
  <si>
    <t xml:space="preserve">401k </t>
  </si>
  <si>
    <t>Total State</t>
  </si>
  <si>
    <t>TN Colleges of Applied Tech</t>
  </si>
  <si>
    <t>Outcomes</t>
  </si>
  <si>
    <t>Revisions</t>
  </si>
  <si>
    <t>Recurring Base</t>
  </si>
  <si>
    <t>Lottery for Education Account</t>
  </si>
  <si>
    <t>Adult Learner Initiatives</t>
  </si>
  <si>
    <t>Labor Education Alignment Program</t>
  </si>
  <si>
    <t>Tennessee Higher Education Commission  Administration</t>
  </si>
  <si>
    <t>FOCUS Act</t>
  </si>
  <si>
    <t>UT Health Science Center</t>
  </si>
  <si>
    <t>THEC Grants Administration</t>
  </si>
  <si>
    <t>Tennessee Reconnect Community Advisor Program Expansion</t>
  </si>
  <si>
    <t>Tennessee Reconnect Grant Coordinator</t>
  </si>
  <si>
    <t>Capital Projects Coordinator</t>
  </si>
  <si>
    <t>Drive to 55 Support Specialist</t>
  </si>
  <si>
    <t>McWherter Academic Scholars Program</t>
  </si>
  <si>
    <t>Higher Education Capital Maintenance</t>
  </si>
  <si>
    <t>LGI Form</t>
  </si>
  <si>
    <t>College Completion Initiatives for Minority Students</t>
  </si>
  <si>
    <t>Advise TN (College Advisor Corp)</t>
  </si>
  <si>
    <t>Advise TN (College Advisor Corps)</t>
  </si>
  <si>
    <t>College Coaching</t>
  </si>
  <si>
    <t>Tennessee Reconnect Coordinator</t>
  </si>
  <si>
    <t>Tennessee Language Center</t>
  </si>
  <si>
    <t>Institute for Public Service: Other Agencies</t>
  </si>
  <si>
    <t>Correctional Education Investment</t>
  </si>
  <si>
    <t>Total Higher Ed and Governor's Initiatives PLUS Lottery</t>
  </si>
  <si>
    <t>Equipment for TN Colleges of Applied Technology</t>
  </si>
  <si>
    <t>Washington Center Internships</t>
  </si>
  <si>
    <t>Locally Governed Institutions</t>
  </si>
  <si>
    <t>2022-23</t>
  </si>
  <si>
    <t>UT Southern</t>
  </si>
  <si>
    <t>Graduate Medical Education (GME) Expansion</t>
  </si>
  <si>
    <t>Correctional Education Investment - Re-Entry Navigators</t>
  </si>
  <si>
    <t>2023-24 Governor's Budget Recommendation</t>
  </si>
  <si>
    <t>2023-24</t>
  </si>
  <si>
    <t>2023-24 Recurring Cost Increases</t>
  </si>
  <si>
    <t>Navigate Reconnect</t>
  </si>
  <si>
    <t>HBCU Success Summer Bridge Program</t>
  </si>
  <si>
    <t>Tennessee Promise Summer Bridge Program</t>
  </si>
  <si>
    <t>Reverse Transfer Portal</t>
  </si>
  <si>
    <t>Inflationary</t>
  </si>
  <si>
    <t>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</si>
</sst>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1" formatCode="_(* #,##0_);_(* \(#,##0\);_(* &quot;-&quot;_);_(@_)"/>
    <numFmt numFmtId="43" formatCode="_(* #,##0.00_);_(* \(#,##0.00\);_(* &quot;-&quot;??_);_(@_)"/>
    <numFmt numFmtId="164" formatCode="0.0%"/>
    <numFmt numFmtId="165" formatCode="_(* #,##0_);_(* \(#,##0\);_(* &quot;-&quot;??_);_(@_)"/>
    <numFmt numFmtId="166" formatCode="m/d/yy;@"/>
    <numFmt numFmtId="167" formatCode="0.0000"/>
    <numFmt numFmtId="168" formatCode="&quot;$&quot;#,##0.0_);\(&quot;$&quot;#,##0.0\)"/>
    <numFmt numFmtId="169" formatCode="_(* #,##0.0_);_(* \(#,##0.0\);_(* &quot;-&quot;?_);_(@_)"/>
  </numFmts>
  <fonts count="31"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color indexed="81"/>
      <name val="Tahoma"/>
      <family val="2"/>
    </font>
    <font>
      <b/>
      <sz val="9"/>
      <color indexed="81"/>
      <name val="Tahoma"/>
      <family val="2"/>
    </font>
    <font>
      <sz val="10"/>
      <color rgb="FFFF0000"/>
      <name val="Open Sans"/>
      <family val="2"/>
    </font>
    <font>
      <sz val="12"/>
      <color rgb="FFFF0000"/>
      <name val="Open Sans"/>
      <family val="2"/>
    </font>
    <font>
      <sz val="12"/>
      <name val="Open Sans"/>
      <family val="2"/>
    </font>
    <font>
      <sz val="10"/>
      <name val="Open Sans"/>
      <family val="2"/>
    </font>
    <font>
      <b/>
      <sz val="10"/>
      <name val="Open Sans"/>
      <family val="2"/>
    </font>
    <font>
      <b/>
      <sz val="16"/>
      <name val="Open Sans"/>
      <family val="2"/>
    </font>
    <font>
      <sz val="11"/>
      <name val="Open Sans"/>
      <family val="2"/>
    </font>
    <font>
      <b/>
      <sz val="12"/>
      <name val="Open San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5" tint="0.79998168889431442"/>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15" fillId="23" borderId="7" applyNumberFormat="0" applyFont="0" applyAlignment="0" applyProtection="0"/>
    <xf numFmtId="0" fontId="16" fillId="20" borderId="8" applyNumberFormat="0" applyAlignment="0" applyProtection="0"/>
    <xf numFmtId="9" fontId="6"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1">
    <xf numFmtId="0" fontId="0" fillId="0" borderId="0" xfId="0"/>
    <xf numFmtId="165" fontId="23" fillId="0" borderId="11" xfId="28" applyNumberFormat="1" applyFont="1" applyFill="1" applyBorder="1"/>
    <xf numFmtId="0" fontId="24" fillId="0" borderId="0" xfId="0" applyFont="1" applyFill="1"/>
    <xf numFmtId="5" fontId="24" fillId="0" borderId="0" xfId="0" applyNumberFormat="1" applyFont="1" applyFill="1"/>
    <xf numFmtId="0" fontId="24" fillId="0" borderId="0" xfId="0" applyFont="1" applyFill="1" applyBorder="1"/>
    <xf numFmtId="164" fontId="23" fillId="0" borderId="11" xfId="42" applyNumberFormat="1" applyFont="1" applyFill="1" applyBorder="1"/>
    <xf numFmtId="9" fontId="23" fillId="0" borderId="25" xfId="0" applyNumberFormat="1" applyFont="1" applyFill="1" applyBorder="1"/>
    <xf numFmtId="164" fontId="23" fillId="0" borderId="14" xfId="42" applyNumberFormat="1" applyFont="1" applyFill="1" applyBorder="1" applyAlignment="1">
      <alignment horizontal="center"/>
    </xf>
    <xf numFmtId="0" fontId="23" fillId="0" borderId="0" xfId="0" applyFont="1" applyFill="1" applyAlignment="1"/>
    <xf numFmtId="5" fontId="23" fillId="0" borderId="0" xfId="0" applyNumberFormat="1" applyFont="1" applyFill="1" applyAlignment="1"/>
    <xf numFmtId="165" fontId="23" fillId="0" borderId="0" xfId="28" applyNumberFormat="1" applyFont="1" applyFill="1" applyBorder="1" applyAlignment="1"/>
    <xf numFmtId="164" fontId="23" fillId="0" borderId="0" xfId="42" applyNumberFormat="1" applyFont="1" applyFill="1" applyAlignment="1"/>
    <xf numFmtId="43" fontId="23" fillId="0" borderId="0" xfId="28" applyFont="1" applyFill="1" applyAlignment="1"/>
    <xf numFmtId="165" fontId="24" fillId="0" borderId="0" xfId="28" applyNumberFormat="1" applyFont="1" applyFill="1"/>
    <xf numFmtId="0" fontId="24" fillId="0" borderId="0" xfId="0" applyFont="1"/>
    <xf numFmtId="167" fontId="24" fillId="0" borderId="0" xfId="0" applyNumberFormat="1" applyFont="1"/>
    <xf numFmtId="0" fontId="25" fillId="0" borderId="0" xfId="0" applyFont="1"/>
    <xf numFmtId="0" fontId="26" fillId="0" borderId="19" xfId="0" applyFont="1" applyBorder="1"/>
    <xf numFmtId="0" fontId="26" fillId="0" borderId="18" xfId="0" applyFont="1" applyBorder="1"/>
    <xf numFmtId="0" fontId="26" fillId="0" borderId="22" xfId="0" applyFont="1" applyBorder="1"/>
    <xf numFmtId="0" fontId="27" fillId="0" borderId="18" xfId="0" applyFont="1" applyBorder="1"/>
    <xf numFmtId="0" fontId="26" fillId="0" borderId="23" xfId="0" applyFont="1" applyBorder="1"/>
    <xf numFmtId="0" fontId="27" fillId="0" borderId="18" xfId="0" applyFont="1" applyBorder="1" applyAlignment="1">
      <alignment horizontal="right"/>
    </xf>
    <xf numFmtId="0" fontId="25" fillId="0" borderId="18" xfId="0" applyFont="1" applyBorder="1"/>
    <xf numFmtId="0" fontId="27" fillId="0" borderId="18" xfId="0" applyFont="1" applyBorder="1" applyAlignment="1">
      <alignment horizontal="left"/>
    </xf>
    <xf numFmtId="0" fontId="27" fillId="0" borderId="24" xfId="0" applyFont="1" applyBorder="1"/>
    <xf numFmtId="0" fontId="27" fillId="0" borderId="0" xfId="0" applyFont="1" applyBorder="1" applyAlignment="1"/>
    <xf numFmtId="0" fontId="26" fillId="0" borderId="0" xfId="0" applyFont="1" applyAlignment="1"/>
    <xf numFmtId="0" fontId="27" fillId="0" borderId="27" xfId="0" applyFont="1" applyBorder="1" applyAlignment="1">
      <alignment horizontal="right"/>
    </xf>
    <xf numFmtId="0" fontId="27" fillId="0" borderId="12" xfId="0" applyFont="1" applyBorder="1" applyAlignment="1">
      <alignment horizontal="right"/>
    </xf>
    <xf numFmtId="0" fontId="27" fillId="0" borderId="28" xfId="0" applyFont="1" applyBorder="1" applyAlignment="1">
      <alignment horizontal="right"/>
    </xf>
    <xf numFmtId="0" fontId="27" fillId="0" borderId="0" xfId="0" applyFont="1" applyBorder="1" applyAlignment="1">
      <alignment horizontal="right"/>
    </xf>
    <xf numFmtId="0" fontId="26" fillId="0" borderId="0" xfId="0" applyFont="1"/>
    <xf numFmtId="5" fontId="26" fillId="0" borderId="0" xfId="0" applyNumberFormat="1" applyFont="1" applyBorder="1"/>
    <xf numFmtId="0" fontId="25" fillId="0" borderId="0" xfId="0" applyFont="1" applyFill="1"/>
    <xf numFmtId="0" fontId="25" fillId="0" borderId="0" xfId="0" applyFont="1" applyBorder="1"/>
    <xf numFmtId="0" fontId="26" fillId="0" borderId="19" xfId="0" applyFont="1" applyFill="1" applyBorder="1"/>
    <xf numFmtId="0" fontId="26" fillId="0" borderId="18" xfId="0" applyFont="1" applyFill="1" applyBorder="1"/>
    <xf numFmtId="0" fontId="26" fillId="0" borderId="22" xfId="0" applyFont="1" applyFill="1" applyBorder="1"/>
    <xf numFmtId="0" fontId="27" fillId="0" borderId="18" xfId="0" applyFont="1" applyFill="1" applyBorder="1"/>
    <xf numFmtId="0" fontId="26" fillId="0" borderId="32" xfId="0" applyFont="1" applyFill="1" applyBorder="1"/>
    <xf numFmtId="0" fontId="27" fillId="0" borderId="18" xfId="0" applyFont="1" applyFill="1" applyBorder="1" applyAlignment="1">
      <alignment horizontal="right"/>
    </xf>
    <xf numFmtId="0" fontId="26" fillId="24" borderId="26" xfId="0" applyFont="1" applyFill="1" applyBorder="1" applyAlignment="1">
      <alignment horizontal="right"/>
    </xf>
    <xf numFmtId="0" fontId="26" fillId="24" borderId="23" xfId="0" applyFont="1" applyFill="1" applyBorder="1" applyAlignment="1">
      <alignment horizontal="right"/>
    </xf>
    <xf numFmtId="0" fontId="26" fillId="0" borderId="23" xfId="0" applyFont="1" applyFill="1" applyBorder="1"/>
    <xf numFmtId="0" fontId="26" fillId="24" borderId="18" xfId="0" applyFont="1" applyFill="1" applyBorder="1" applyAlignment="1">
      <alignment horizontal="right"/>
    </xf>
    <xf numFmtId="0" fontId="26" fillId="24" borderId="22" xfId="0" applyFont="1" applyFill="1" applyBorder="1" applyAlignment="1">
      <alignment horizontal="right"/>
    </xf>
    <xf numFmtId="0" fontId="27" fillId="0" borderId="26" xfId="0" applyFont="1" applyFill="1" applyBorder="1" applyAlignment="1">
      <alignment horizontal="right"/>
    </xf>
    <xf numFmtId="0" fontId="27" fillId="0" borderId="23" xfId="0" applyFont="1" applyFill="1" applyBorder="1" applyAlignment="1">
      <alignment horizontal="right"/>
    </xf>
    <xf numFmtId="0" fontId="27" fillId="0" borderId="24" xfId="0" applyFont="1" applyFill="1" applyBorder="1" applyAlignment="1">
      <alignment horizontal="right"/>
    </xf>
    <xf numFmtId="0" fontId="26" fillId="0" borderId="39" xfId="0" applyFont="1" applyFill="1" applyBorder="1" applyAlignment="1"/>
    <xf numFmtId="0" fontId="27" fillId="0" borderId="41" xfId="0" applyFont="1" applyFill="1" applyBorder="1" applyAlignment="1">
      <alignment horizontal="right"/>
    </xf>
    <xf numFmtId="5" fontId="25" fillId="0" borderId="0" xfId="0" applyNumberFormat="1" applyFont="1" applyFill="1"/>
    <xf numFmtId="0" fontId="25" fillId="0" borderId="0" xfId="0" applyFont="1" applyFill="1" applyBorder="1"/>
    <xf numFmtId="0" fontId="26" fillId="0" borderId="20" xfId="0" applyFont="1" applyBorder="1" applyAlignment="1">
      <alignment horizontal="center"/>
    </xf>
    <xf numFmtId="164" fontId="26" fillId="0" borderId="14" xfId="42" applyNumberFormat="1" applyFont="1" applyBorder="1" applyAlignment="1">
      <alignment horizontal="center"/>
    </xf>
    <xf numFmtId="164" fontId="26" fillId="0" borderId="13" xfId="42" applyNumberFormat="1" applyFont="1" applyBorder="1" applyAlignment="1">
      <alignment horizontal="center"/>
    </xf>
    <xf numFmtId="9" fontId="26" fillId="0" borderId="14" xfId="0" applyNumberFormat="1" applyFont="1" applyBorder="1"/>
    <xf numFmtId="5" fontId="26" fillId="0" borderId="14" xfId="0" applyNumberFormat="1" applyFont="1" applyBorder="1"/>
    <xf numFmtId="165" fontId="26" fillId="0" borderId="14" xfId="28" applyNumberFormat="1" applyFont="1" applyBorder="1"/>
    <xf numFmtId="165" fontId="26" fillId="0" borderId="13" xfId="28" applyNumberFormat="1" applyFont="1" applyBorder="1"/>
    <xf numFmtId="5" fontId="27" fillId="0" borderId="14" xfId="0" applyNumberFormat="1" applyFont="1" applyBorder="1"/>
    <xf numFmtId="0" fontId="26" fillId="0" borderId="14" xfId="0" applyFont="1" applyBorder="1"/>
    <xf numFmtId="5" fontId="27" fillId="0" borderId="16" xfId="0" applyNumberFormat="1" applyFont="1" applyBorder="1"/>
    <xf numFmtId="5" fontId="27" fillId="0" borderId="0" xfId="0" applyNumberFormat="1" applyFont="1" applyBorder="1" applyAlignment="1"/>
    <xf numFmtId="5" fontId="26" fillId="0" borderId="0" xfId="0" applyNumberFormat="1" applyFont="1" applyAlignment="1"/>
    <xf numFmtId="165" fontId="26" fillId="0" borderId="46" xfId="28" applyNumberFormat="1" applyFont="1" applyBorder="1" applyAlignment="1">
      <alignment horizontal="right"/>
    </xf>
    <xf numFmtId="165" fontId="26" fillId="0" borderId="0" xfId="28" applyNumberFormat="1" applyFont="1" applyBorder="1" applyAlignment="1">
      <alignment horizontal="right"/>
    </xf>
    <xf numFmtId="165" fontId="26" fillId="0" borderId="40" xfId="28" applyNumberFormat="1" applyFont="1" applyBorder="1" applyAlignment="1">
      <alignment horizontal="right"/>
    </xf>
    <xf numFmtId="165" fontId="26" fillId="0" borderId="0" xfId="28" applyNumberFormat="1" applyFont="1" applyBorder="1"/>
    <xf numFmtId="165" fontId="26" fillId="0" borderId="40" xfId="28" applyNumberFormat="1" applyFont="1" applyBorder="1"/>
    <xf numFmtId="5" fontId="27" fillId="0" borderId="0" xfId="0" applyNumberFormat="1" applyFont="1" applyBorder="1"/>
    <xf numFmtId="0" fontId="26" fillId="0" borderId="38" xfId="0" applyFont="1" applyBorder="1" applyAlignment="1">
      <alignment horizontal="center"/>
    </xf>
    <xf numFmtId="0" fontId="26" fillId="0" borderId="40" xfId="0" applyFont="1" applyBorder="1" applyAlignment="1">
      <alignment horizontal="center"/>
    </xf>
    <xf numFmtId="9" fontId="26" fillId="0" borderId="0" xfId="0" applyNumberFormat="1" applyFont="1" applyBorder="1"/>
    <xf numFmtId="0" fontId="26" fillId="0" borderId="0" xfId="0" applyFont="1" applyBorder="1"/>
    <xf numFmtId="5" fontId="27" fillId="0" borderId="37" xfId="0" applyNumberFormat="1" applyFont="1" applyBorder="1"/>
    <xf numFmtId="2" fontId="26" fillId="0" borderId="50" xfId="42" applyNumberFormat="1" applyFont="1" applyBorder="1" applyAlignment="1">
      <alignment horizontal="center"/>
    </xf>
    <xf numFmtId="164" fontId="26" fillId="0" borderId="31" xfId="42" applyNumberFormat="1" applyFont="1" applyBorder="1" applyAlignment="1">
      <alignment horizontal="center"/>
    </xf>
    <xf numFmtId="164" fontId="26" fillId="0" borderId="29" xfId="42" applyNumberFormat="1" applyFont="1" applyBorder="1" applyAlignment="1">
      <alignment horizontal="center"/>
    </xf>
    <xf numFmtId="5" fontId="26" fillId="0" borderId="32" xfId="0" applyNumberFormat="1" applyFont="1" applyFill="1" applyBorder="1"/>
    <xf numFmtId="165" fontId="26" fillId="0" borderId="32" xfId="28" applyNumberFormat="1" applyFont="1" applyFill="1" applyBorder="1"/>
    <xf numFmtId="165" fontId="26" fillId="0" borderId="23" xfId="28" applyNumberFormat="1" applyFont="1" applyFill="1" applyBorder="1"/>
    <xf numFmtId="5" fontId="26" fillId="0" borderId="11" xfId="0" applyNumberFormat="1" applyFont="1" applyFill="1" applyBorder="1"/>
    <xf numFmtId="5" fontId="26" fillId="0" borderId="14" xfId="0" applyNumberFormat="1" applyFont="1" applyFill="1" applyBorder="1"/>
    <xf numFmtId="165" fontId="26" fillId="0" borderId="11" xfId="28" applyNumberFormat="1" applyFont="1" applyFill="1" applyBorder="1"/>
    <xf numFmtId="165" fontId="26" fillId="0" borderId="14" xfId="28" applyNumberFormat="1" applyFont="1" applyFill="1" applyBorder="1"/>
    <xf numFmtId="165" fontId="26" fillId="0" borderId="10" xfId="28" applyNumberFormat="1" applyFont="1" applyFill="1" applyBorder="1"/>
    <xf numFmtId="165" fontId="26" fillId="0" borderId="13" xfId="28" applyNumberFormat="1" applyFont="1" applyFill="1" applyBorder="1"/>
    <xf numFmtId="5" fontId="27" fillId="0" borderId="11" xfId="0" applyNumberFormat="1" applyFont="1" applyFill="1" applyBorder="1"/>
    <xf numFmtId="5" fontId="27" fillId="0" borderId="14" xfId="0" applyNumberFormat="1" applyFont="1" applyFill="1" applyBorder="1"/>
    <xf numFmtId="5" fontId="27" fillId="0" borderId="32" xfId="0" applyNumberFormat="1" applyFont="1" applyFill="1" applyBorder="1"/>
    <xf numFmtId="0" fontId="26" fillId="0" borderId="32" xfId="0" applyFont="1" applyBorder="1" applyAlignment="1">
      <alignment horizontal="center"/>
    </xf>
    <xf numFmtId="0" fontId="26" fillId="0" borderId="23" xfId="0" applyFont="1" applyBorder="1" applyAlignment="1">
      <alignment horizontal="center"/>
    </xf>
    <xf numFmtId="9" fontId="26" fillId="0" borderId="32" xfId="0" applyNumberFormat="1" applyFont="1" applyBorder="1"/>
    <xf numFmtId="5" fontId="26" fillId="0" borderId="32" xfId="0" applyNumberFormat="1" applyFont="1" applyBorder="1"/>
    <xf numFmtId="165" fontId="26" fillId="0" borderId="32" xfId="28" applyNumberFormat="1" applyFont="1" applyBorder="1"/>
    <xf numFmtId="5" fontId="27" fillId="0" borderId="33" xfId="0" applyNumberFormat="1" applyFont="1" applyFill="1" applyBorder="1"/>
    <xf numFmtId="0" fontId="26" fillId="0" borderId="11" xfId="0" applyFont="1" applyBorder="1" applyAlignment="1">
      <alignment horizontal="center"/>
    </xf>
    <xf numFmtId="166" fontId="26" fillId="0" borderId="14" xfId="42" applyNumberFormat="1" applyFont="1" applyBorder="1" applyAlignment="1">
      <alignment horizontal="center"/>
    </xf>
    <xf numFmtId="43" fontId="26" fillId="0" borderId="29" xfId="28" applyFont="1" applyBorder="1" applyAlignment="1">
      <alignment horizontal="center"/>
    </xf>
    <xf numFmtId="43" fontId="26" fillId="0" borderId="32" xfId="28" applyFont="1" applyBorder="1" applyAlignment="1">
      <alignment horizontal="center"/>
    </xf>
    <xf numFmtId="43" fontId="26" fillId="0" borderId="11" xfId="28" applyFont="1" applyBorder="1" applyAlignment="1">
      <alignment horizontal="center"/>
    </xf>
    <xf numFmtId="43" fontId="26" fillId="0" borderId="14" xfId="28" applyFont="1" applyBorder="1" applyAlignment="1">
      <alignment horizontal="center"/>
    </xf>
    <xf numFmtId="0" fontId="26" fillId="0" borderId="14" xfId="0" applyFont="1" applyBorder="1" applyAlignment="1">
      <alignment horizontal="center"/>
    </xf>
    <xf numFmtId="0" fontId="26" fillId="0" borderId="10" xfId="0" applyFont="1" applyBorder="1" applyAlignment="1">
      <alignment horizontal="center"/>
    </xf>
    <xf numFmtId="164" fontId="26" fillId="0" borderId="10" xfId="42" applyNumberFormat="1" applyFont="1" applyBorder="1" applyAlignment="1">
      <alignment horizontal="center"/>
    </xf>
    <xf numFmtId="164" fontId="26" fillId="0" borderId="30" xfId="42" applyNumberFormat="1" applyFont="1" applyBorder="1" applyAlignment="1">
      <alignment horizontal="center"/>
    </xf>
    <xf numFmtId="164" fontId="26" fillId="0" borderId="23" xfId="42" applyNumberFormat="1" applyFont="1" applyBorder="1" applyAlignment="1">
      <alignment horizontal="center"/>
    </xf>
    <xf numFmtId="0" fontId="26" fillId="0" borderId="13" xfId="0" applyFont="1" applyBorder="1" applyAlignment="1">
      <alignment horizontal="center"/>
    </xf>
    <xf numFmtId="9" fontId="26" fillId="0" borderId="11" xfId="0" applyNumberFormat="1" applyFont="1" applyBorder="1"/>
    <xf numFmtId="5" fontId="26" fillId="0" borderId="11" xfId="0" applyNumberFormat="1" applyFont="1" applyBorder="1"/>
    <xf numFmtId="165" fontId="26" fillId="0" borderId="11" xfId="28" applyNumberFormat="1" applyFont="1" applyBorder="1"/>
    <xf numFmtId="0" fontId="26" fillId="0" borderId="11" xfId="0" applyFont="1" applyFill="1" applyBorder="1"/>
    <xf numFmtId="5" fontId="27" fillId="0" borderId="15" xfId="0" applyNumberFormat="1" applyFont="1" applyFill="1" applyBorder="1"/>
    <xf numFmtId="0" fontId="26" fillId="0" borderId="14" xfId="0" applyFont="1" applyFill="1" applyBorder="1"/>
    <xf numFmtId="5" fontId="27" fillId="0" borderId="16" xfId="0" applyNumberFormat="1" applyFont="1" applyFill="1" applyBorder="1"/>
    <xf numFmtId="9" fontId="26" fillId="0" borderId="55" xfId="0" applyNumberFormat="1" applyFont="1" applyBorder="1"/>
    <xf numFmtId="5" fontId="27" fillId="0" borderId="29" xfId="0" applyNumberFormat="1" applyFont="1" applyFill="1" applyBorder="1"/>
    <xf numFmtId="0" fontId="26" fillId="0" borderId="29" xfId="0" applyFont="1" applyFill="1" applyBorder="1"/>
    <xf numFmtId="5" fontId="27" fillId="0" borderId="56" xfId="0" applyNumberFormat="1" applyFont="1" applyFill="1" applyBorder="1"/>
    <xf numFmtId="164" fontId="26" fillId="0" borderId="14" xfId="42" applyNumberFormat="1" applyFont="1" applyFill="1" applyBorder="1"/>
    <xf numFmtId="164" fontId="26" fillId="0" borderId="32" xfId="42" applyNumberFormat="1" applyFont="1" applyBorder="1"/>
    <xf numFmtId="165" fontId="26" fillId="0" borderId="10" xfId="28" applyNumberFormat="1" applyFont="1" applyBorder="1"/>
    <xf numFmtId="165" fontId="26" fillId="0" borderId="23" xfId="28" applyNumberFormat="1" applyFont="1" applyBorder="1"/>
    <xf numFmtId="5" fontId="27" fillId="0" borderId="11" xfId="0" applyNumberFormat="1" applyFont="1" applyBorder="1"/>
    <xf numFmtId="5" fontId="27" fillId="0" borderId="32" xfId="0" applyNumberFormat="1" applyFont="1" applyBorder="1"/>
    <xf numFmtId="164" fontId="27" fillId="0" borderId="14" xfId="42" applyNumberFormat="1" applyFont="1" applyBorder="1" applyAlignment="1">
      <alignment horizontal="center"/>
    </xf>
    <xf numFmtId="0" fontId="26" fillId="0" borderId="11" xfId="0" applyFont="1" applyBorder="1"/>
    <xf numFmtId="0" fontId="26" fillId="0" borderId="32" xfId="0" applyFont="1" applyBorder="1"/>
    <xf numFmtId="5" fontId="27" fillId="0" borderId="15" xfId="0" applyNumberFormat="1" applyFont="1" applyBorder="1"/>
    <xf numFmtId="5" fontId="27" fillId="0" borderId="33" xfId="0" applyNumberFormat="1" applyFont="1" applyBorder="1"/>
    <xf numFmtId="164" fontId="27" fillId="0" borderId="16" xfId="42" applyNumberFormat="1" applyFont="1" applyBorder="1" applyAlignment="1">
      <alignment horizontal="center"/>
    </xf>
    <xf numFmtId="164" fontId="27" fillId="0" borderId="0" xfId="42" applyNumberFormat="1" applyFont="1" applyBorder="1" applyAlignment="1">
      <alignment horizontal="center"/>
    </xf>
    <xf numFmtId="165" fontId="26" fillId="0" borderId="47" xfId="28" applyNumberFormat="1" applyFont="1" applyBorder="1" applyAlignment="1">
      <alignment horizontal="right"/>
    </xf>
    <xf numFmtId="165" fontId="26" fillId="0" borderId="38" xfId="28" applyNumberFormat="1" applyFont="1" applyBorder="1" applyAlignment="1">
      <alignment horizontal="right"/>
    </xf>
    <xf numFmtId="165" fontId="26" fillId="0" borderId="36" xfId="28" applyNumberFormat="1" applyFont="1" applyBorder="1" applyAlignment="1">
      <alignment horizontal="right"/>
    </xf>
    <xf numFmtId="5" fontId="26" fillId="0" borderId="0" xfId="0" applyNumberFormat="1" applyFont="1"/>
    <xf numFmtId="0" fontId="26" fillId="0" borderId="34" xfId="0" applyFont="1" applyFill="1" applyBorder="1" applyAlignment="1">
      <alignment horizontal="center"/>
    </xf>
    <xf numFmtId="164" fontId="26" fillId="0" borderId="12" xfId="42" applyNumberFormat="1" applyFont="1" applyFill="1" applyBorder="1" applyAlignment="1">
      <alignment horizontal="center"/>
    </xf>
    <xf numFmtId="164" fontId="26" fillId="0" borderId="28" xfId="42" applyNumberFormat="1" applyFont="1" applyFill="1" applyBorder="1" applyAlignment="1">
      <alignment horizontal="center"/>
    </xf>
    <xf numFmtId="5" fontId="26" fillId="0" borderId="12" xfId="0" applyNumberFormat="1" applyFont="1" applyFill="1" applyBorder="1"/>
    <xf numFmtId="41" fontId="26" fillId="0" borderId="12" xfId="0" applyNumberFormat="1" applyFont="1" applyFill="1" applyBorder="1"/>
    <xf numFmtId="5" fontId="27" fillId="0" borderId="27" xfId="0" applyNumberFormat="1" applyFont="1" applyFill="1" applyBorder="1"/>
    <xf numFmtId="0" fontId="26" fillId="0" borderId="12" xfId="0" applyFont="1" applyFill="1" applyBorder="1"/>
    <xf numFmtId="41" fontId="26" fillId="24" borderId="27" xfId="0" applyNumberFormat="1" applyFont="1" applyFill="1" applyBorder="1"/>
    <xf numFmtId="41" fontId="26" fillId="24" borderId="28" xfId="0" applyNumberFormat="1" applyFont="1" applyFill="1" applyBorder="1"/>
    <xf numFmtId="41" fontId="26" fillId="0" borderId="28" xfId="0" applyNumberFormat="1" applyFont="1" applyFill="1" applyBorder="1"/>
    <xf numFmtId="5" fontId="27" fillId="0" borderId="12" xfId="0" applyNumberFormat="1" applyFont="1" applyFill="1" applyBorder="1"/>
    <xf numFmtId="165" fontId="26" fillId="0" borderId="12" xfId="28" applyNumberFormat="1" applyFont="1" applyFill="1" applyBorder="1"/>
    <xf numFmtId="41" fontId="26" fillId="24" borderId="12" xfId="0" applyNumberFormat="1" applyFont="1" applyFill="1" applyBorder="1"/>
    <xf numFmtId="5" fontId="27" fillId="0" borderId="28" xfId="0" applyNumberFormat="1" applyFont="1" applyFill="1" applyBorder="1"/>
    <xf numFmtId="165" fontId="26" fillId="24" borderId="27" xfId="28" applyNumberFormat="1" applyFont="1" applyFill="1" applyBorder="1"/>
    <xf numFmtId="165" fontId="26" fillId="24" borderId="12" xfId="28" applyNumberFormat="1" applyFont="1" applyFill="1" applyBorder="1"/>
    <xf numFmtId="165" fontId="26" fillId="24" borderId="28" xfId="28" applyNumberFormat="1" applyFont="1" applyFill="1" applyBorder="1"/>
    <xf numFmtId="5" fontId="27" fillId="0" borderId="17" xfId="0" applyNumberFormat="1" applyFont="1" applyFill="1" applyBorder="1"/>
    <xf numFmtId="5" fontId="26" fillId="0" borderId="39" xfId="0" applyNumberFormat="1" applyFont="1" applyFill="1" applyBorder="1" applyAlignment="1"/>
    <xf numFmtId="5" fontId="27" fillId="0" borderId="43" xfId="0" applyNumberFormat="1" applyFont="1" applyFill="1" applyBorder="1"/>
    <xf numFmtId="165" fontId="29" fillId="0" borderId="0" xfId="28" applyNumberFormat="1" applyFont="1" applyFill="1" applyBorder="1"/>
    <xf numFmtId="0" fontId="26" fillId="0" borderId="50" xfId="0" applyFont="1" applyFill="1" applyBorder="1" applyAlignment="1">
      <alignment horizontal="center"/>
    </xf>
    <xf numFmtId="164" fontId="26" fillId="0" borderId="21" xfId="42" applyNumberFormat="1" applyFont="1" applyFill="1" applyBorder="1" applyAlignment="1">
      <alignment horizontal="center"/>
    </xf>
    <xf numFmtId="0" fontId="26" fillId="0" borderId="20" xfId="0" applyFont="1" applyFill="1" applyBorder="1" applyAlignment="1">
      <alignment horizontal="center"/>
    </xf>
    <xf numFmtId="164" fontId="26" fillId="0" borderId="32" xfId="42" applyNumberFormat="1" applyFont="1" applyFill="1" applyBorder="1" applyAlignment="1">
      <alignment horizontal="center"/>
    </xf>
    <xf numFmtId="166" fontId="26" fillId="0" borderId="14" xfId="42" applyNumberFormat="1"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164" fontId="26" fillId="0" borderId="11" xfId="42" applyNumberFormat="1" applyFont="1" applyFill="1" applyBorder="1" applyAlignment="1">
      <alignment horizontal="center"/>
    </xf>
    <xf numFmtId="166" fontId="26" fillId="0" borderId="29" xfId="42" applyNumberFormat="1" applyFont="1" applyFill="1" applyBorder="1" applyAlignment="1">
      <alignment horizontal="center"/>
    </xf>
    <xf numFmtId="166" fontId="26" fillId="0" borderId="32" xfId="42" applyNumberFormat="1" applyFont="1" applyFill="1" applyBorder="1" applyAlignment="1">
      <alignment horizontal="center"/>
    </xf>
    <xf numFmtId="43" fontId="26" fillId="0" borderId="11" xfId="28" applyFont="1" applyFill="1" applyBorder="1" applyAlignment="1">
      <alignment horizontal="center"/>
    </xf>
    <xf numFmtId="0" fontId="26" fillId="0" borderId="14" xfId="0" applyFont="1" applyFill="1" applyBorder="1" applyAlignment="1">
      <alignment horizontal="center"/>
    </xf>
    <xf numFmtId="164" fontId="26" fillId="0" borderId="23" xfId="42" applyNumberFormat="1" applyFont="1" applyFill="1" applyBorder="1" applyAlignment="1">
      <alignment horizontal="center"/>
    </xf>
    <xf numFmtId="164" fontId="26" fillId="0" borderId="13" xfId="42" applyNumberFormat="1" applyFont="1" applyFill="1" applyBorder="1" applyAlignment="1">
      <alignment horizontal="center"/>
    </xf>
    <xf numFmtId="0" fontId="26" fillId="0" borderId="23" xfId="0" applyFont="1" applyFill="1" applyBorder="1" applyAlignment="1">
      <alignment horizontal="center"/>
    </xf>
    <xf numFmtId="0" fontId="26" fillId="0" borderId="10" xfId="0" applyFont="1" applyFill="1" applyBorder="1" applyAlignment="1">
      <alignment horizontal="center"/>
    </xf>
    <xf numFmtId="164" fontId="26" fillId="0" borderId="10" xfId="42" applyNumberFormat="1" applyFont="1" applyFill="1" applyBorder="1" applyAlignment="1">
      <alignment horizontal="center"/>
    </xf>
    <xf numFmtId="164" fontId="26" fillId="0" borderId="30" xfId="42" applyNumberFormat="1" applyFont="1" applyFill="1" applyBorder="1" applyAlignment="1">
      <alignment horizontal="center"/>
    </xf>
    <xf numFmtId="0" fontId="26" fillId="0" borderId="13" xfId="0" applyFont="1" applyFill="1" applyBorder="1" applyAlignment="1">
      <alignment horizontal="center"/>
    </xf>
    <xf numFmtId="5" fontId="26" fillId="0" borderId="18" xfId="0" applyNumberFormat="1" applyFont="1" applyFill="1" applyBorder="1"/>
    <xf numFmtId="41" fontId="26" fillId="24" borderId="25" xfId="0" applyNumberFormat="1" applyFont="1" applyFill="1" applyBorder="1"/>
    <xf numFmtId="41" fontId="26" fillId="0" borderId="18" xfId="0" applyNumberFormat="1" applyFont="1" applyFill="1" applyBorder="1"/>
    <xf numFmtId="41" fontId="26" fillId="0" borderId="14" xfId="0" applyNumberFormat="1" applyFont="1" applyFill="1" applyBorder="1"/>
    <xf numFmtId="41" fontId="26" fillId="0" borderId="11" xfId="0" applyNumberFormat="1" applyFont="1" applyFill="1" applyBorder="1"/>
    <xf numFmtId="164" fontId="26" fillId="0" borderId="14" xfId="42" applyNumberFormat="1" applyFont="1" applyFill="1" applyBorder="1" applyAlignment="1">
      <alignment horizontal="center"/>
    </xf>
    <xf numFmtId="41" fontId="26" fillId="0" borderId="32" xfId="0" applyNumberFormat="1" applyFont="1" applyFill="1" applyBorder="1"/>
    <xf numFmtId="41" fontId="26" fillId="0" borderId="10" xfId="0" applyNumberFormat="1" applyFont="1" applyFill="1" applyBorder="1"/>
    <xf numFmtId="41" fontId="26" fillId="0" borderId="13" xfId="0" applyNumberFormat="1" applyFont="1" applyFill="1" applyBorder="1"/>
    <xf numFmtId="41" fontId="25" fillId="0" borderId="0" xfId="0" applyNumberFormat="1" applyFont="1" applyFill="1"/>
    <xf numFmtId="41" fontId="26" fillId="24" borderId="35" xfId="0" applyNumberFormat="1" applyFont="1" applyFill="1" applyBorder="1"/>
    <xf numFmtId="164" fontId="26" fillId="24" borderId="25" xfId="42" applyNumberFormat="1" applyFont="1" applyFill="1" applyBorder="1" applyAlignment="1">
      <alignment horizontal="center"/>
    </xf>
    <xf numFmtId="41" fontId="26" fillId="24" borderId="22" xfId="0" applyNumberFormat="1" applyFont="1" applyFill="1" applyBorder="1"/>
    <xf numFmtId="41" fontId="26" fillId="24" borderId="13" xfId="0" applyNumberFormat="1" applyFont="1" applyFill="1" applyBorder="1"/>
    <xf numFmtId="9" fontId="26" fillId="0" borderId="14" xfId="0" applyNumberFormat="1" applyFont="1" applyFill="1" applyBorder="1"/>
    <xf numFmtId="5" fontId="27" fillId="0" borderId="25" xfId="0" applyNumberFormat="1" applyFont="1" applyFill="1" applyBorder="1"/>
    <xf numFmtId="41" fontId="26" fillId="24" borderId="14" xfId="0" applyNumberFormat="1" applyFont="1" applyFill="1" applyBorder="1"/>
    <xf numFmtId="5" fontId="27" fillId="0" borderId="13" xfId="0" applyNumberFormat="1" applyFont="1" applyFill="1" applyBorder="1"/>
    <xf numFmtId="165" fontId="26" fillId="0" borderId="39" xfId="0" applyNumberFormat="1" applyFont="1" applyFill="1" applyBorder="1" applyAlignment="1"/>
    <xf numFmtId="5" fontId="27" fillId="0" borderId="45" xfId="0" applyNumberFormat="1" applyFont="1" applyFill="1" applyBorder="1"/>
    <xf numFmtId="0" fontId="26" fillId="0" borderId="0" xfId="0" applyFont="1" applyFill="1" applyAlignment="1"/>
    <xf numFmtId="5" fontId="26" fillId="0" borderId="0" xfId="0" applyNumberFormat="1" applyFont="1" applyFill="1" applyAlignment="1"/>
    <xf numFmtId="164" fontId="27" fillId="0" borderId="14" xfId="42" applyNumberFormat="1" applyFont="1" applyFill="1" applyBorder="1" applyAlignment="1">
      <alignment horizontal="center"/>
    </xf>
    <xf numFmtId="41" fontId="26" fillId="24" borderId="10" xfId="0" applyNumberFormat="1" applyFont="1" applyFill="1" applyBorder="1"/>
    <xf numFmtId="164" fontId="26" fillId="24" borderId="13" xfId="42" applyNumberFormat="1" applyFont="1" applyFill="1" applyBorder="1" applyAlignment="1">
      <alignment horizontal="center"/>
    </xf>
    <xf numFmtId="41" fontId="26" fillId="0" borderId="22" xfId="0" applyNumberFormat="1" applyFont="1" applyFill="1" applyBorder="1"/>
    <xf numFmtId="5" fontId="27" fillId="0" borderId="54" xfId="0" applyNumberFormat="1" applyFont="1" applyFill="1" applyBorder="1"/>
    <xf numFmtId="5" fontId="27" fillId="0" borderId="35" xfId="0" applyNumberFormat="1" applyFont="1" applyFill="1" applyBorder="1"/>
    <xf numFmtId="164" fontId="27" fillId="0" borderId="25" xfId="42" applyNumberFormat="1" applyFont="1" applyFill="1" applyBorder="1" applyAlignment="1">
      <alignment horizontal="center"/>
    </xf>
    <xf numFmtId="41" fontId="26" fillId="24" borderId="11" xfId="0" applyNumberFormat="1" applyFont="1" applyFill="1" applyBorder="1"/>
    <xf numFmtId="10" fontId="25" fillId="0" borderId="0" xfId="42" applyNumberFormat="1" applyFont="1" applyFill="1"/>
    <xf numFmtId="164" fontId="26" fillId="24" borderId="14" xfId="42" applyNumberFormat="1" applyFont="1" applyFill="1" applyBorder="1" applyAlignment="1">
      <alignment horizontal="center"/>
    </xf>
    <xf numFmtId="5" fontId="27" fillId="0" borderId="42" xfId="0" applyNumberFormat="1" applyFont="1" applyFill="1" applyBorder="1"/>
    <xf numFmtId="5" fontId="27" fillId="0" borderId="58" xfId="0" applyNumberFormat="1" applyFont="1" applyFill="1" applyBorder="1"/>
    <xf numFmtId="5" fontId="27" fillId="0" borderId="59" xfId="0" applyNumberFormat="1" applyFont="1" applyFill="1" applyBorder="1"/>
    <xf numFmtId="5" fontId="27" fillId="0" borderId="44" xfId="0" applyNumberFormat="1" applyFont="1" applyFill="1" applyBorder="1"/>
    <xf numFmtId="164" fontId="27" fillId="0" borderId="45" xfId="42" applyNumberFormat="1" applyFont="1" applyFill="1" applyBorder="1" applyAlignment="1">
      <alignment horizontal="center"/>
    </xf>
    <xf numFmtId="5" fontId="27" fillId="0" borderId="23" xfId="0" applyNumberFormat="1" applyFont="1" applyFill="1" applyBorder="1"/>
    <xf numFmtId="5" fontId="27" fillId="0" borderId="10" xfId="0" applyNumberFormat="1" applyFont="1" applyFill="1" applyBorder="1"/>
    <xf numFmtId="164" fontId="27" fillId="0" borderId="13" xfId="42" applyNumberFormat="1" applyFont="1" applyFill="1" applyBorder="1" applyAlignment="1">
      <alignment horizontal="center"/>
    </xf>
    <xf numFmtId="5" fontId="27" fillId="0" borderId="26" xfId="0" applyNumberFormat="1" applyFont="1" applyFill="1" applyBorder="1"/>
    <xf numFmtId="9" fontId="26" fillId="0" borderId="32" xfId="0" applyNumberFormat="1" applyFont="1" applyFill="1" applyBorder="1"/>
    <xf numFmtId="165" fontId="26" fillId="0" borderId="18" xfId="28" applyNumberFormat="1" applyFont="1" applyFill="1" applyBorder="1"/>
    <xf numFmtId="10" fontId="26" fillId="0" borderId="39" xfId="42" applyNumberFormat="1" applyFont="1" applyFill="1" applyBorder="1" applyAlignment="1"/>
    <xf numFmtId="164" fontId="27" fillId="0" borderId="16" xfId="42" applyNumberFormat="1" applyFont="1" applyFill="1" applyBorder="1" applyAlignment="1">
      <alignment horizontal="center"/>
    </xf>
    <xf numFmtId="165" fontId="26" fillId="0" borderId="39" xfId="28" applyNumberFormat="1" applyFont="1" applyFill="1" applyBorder="1" applyAlignment="1"/>
    <xf numFmtId="10" fontId="25" fillId="0" borderId="0" xfId="42" applyNumberFormat="1" applyFont="1" applyFill="1" applyAlignment="1">
      <alignment horizontal="right"/>
    </xf>
    <xf numFmtId="165" fontId="25" fillId="0" borderId="0" xfId="42" applyNumberFormat="1" applyFont="1" applyFill="1" applyAlignment="1">
      <alignment horizontal="right"/>
    </xf>
    <xf numFmtId="165" fontId="26" fillId="0" borderId="0" xfId="28" applyNumberFormat="1" applyFont="1" applyFill="1" applyBorder="1" applyAlignment="1"/>
    <xf numFmtId="0" fontId="30" fillId="0" borderId="0" xfId="0" applyFont="1" applyFill="1"/>
    <xf numFmtId="5" fontId="26" fillId="0" borderId="0" xfId="0" applyNumberFormat="1" applyFont="1" applyFill="1" applyBorder="1" applyAlignment="1"/>
    <xf numFmtId="165" fontId="26" fillId="0" borderId="0" xfId="0" applyNumberFormat="1" applyFont="1" applyFill="1" applyAlignment="1"/>
    <xf numFmtId="165" fontId="26" fillId="0" borderId="0" xfId="28" applyNumberFormat="1" applyFont="1"/>
    <xf numFmtId="41" fontId="27" fillId="0" borderId="27" xfId="0" applyNumberFormat="1" applyFont="1" applyFill="1" applyBorder="1"/>
    <xf numFmtId="9" fontId="26" fillId="0" borderId="11" xfId="0" applyNumberFormat="1" applyFont="1" applyFill="1" applyBorder="1"/>
    <xf numFmtId="9" fontId="26" fillId="0" borderId="29" xfId="0" applyNumberFormat="1" applyFont="1" applyFill="1" applyBorder="1"/>
    <xf numFmtId="41" fontId="26" fillId="24" borderId="26" xfId="0" applyNumberFormat="1" applyFont="1" applyFill="1" applyBorder="1"/>
    <xf numFmtId="41" fontId="26" fillId="24" borderId="18" xfId="0" applyNumberFormat="1" applyFont="1" applyFill="1" applyBorder="1"/>
    <xf numFmtId="168" fontId="26" fillId="0" borderId="0" xfId="0" applyNumberFormat="1" applyFont="1" applyFill="1" applyAlignment="1"/>
    <xf numFmtId="169" fontId="26" fillId="0" borderId="0" xfId="0" applyNumberFormat="1" applyFont="1" applyFill="1" applyAlignment="1"/>
    <xf numFmtId="165" fontId="25" fillId="0" borderId="0" xfId="28" applyNumberFormat="1" applyFont="1" applyFill="1"/>
    <xf numFmtId="5" fontId="26" fillId="0" borderId="29" xfId="0" applyNumberFormat="1" applyFont="1" applyBorder="1"/>
    <xf numFmtId="165" fontId="26" fillId="0" borderId="29" xfId="28" applyNumberFormat="1" applyFont="1" applyBorder="1"/>
    <xf numFmtId="165" fontId="26" fillId="0" borderId="29" xfId="28" applyNumberFormat="1" applyFont="1" applyFill="1" applyBorder="1"/>
    <xf numFmtId="165" fontId="26" fillId="0" borderId="30" xfId="28" applyNumberFormat="1" applyFont="1" applyFill="1" applyBorder="1"/>
    <xf numFmtId="5" fontId="26" fillId="0" borderId="29" xfId="0" applyNumberFormat="1" applyFont="1" applyFill="1" applyBorder="1"/>
    <xf numFmtId="5" fontId="27" fillId="25" borderId="43" xfId="0" applyNumberFormat="1" applyFont="1" applyFill="1" applyBorder="1"/>
    <xf numFmtId="5" fontId="26" fillId="0" borderId="38" xfId="0" applyNumberFormat="1" applyFont="1" applyBorder="1"/>
    <xf numFmtId="165" fontId="26" fillId="0" borderId="38" xfId="28" applyNumberFormat="1" applyFont="1" applyBorder="1"/>
    <xf numFmtId="165" fontId="26" fillId="0" borderId="38" xfId="28" applyNumberFormat="1" applyFont="1" applyFill="1" applyBorder="1"/>
    <xf numFmtId="5" fontId="27" fillId="0" borderId="38" xfId="0" applyNumberFormat="1" applyFont="1" applyFill="1" applyBorder="1"/>
    <xf numFmtId="0" fontId="26" fillId="0" borderId="38" xfId="0" applyFont="1" applyFill="1" applyBorder="1"/>
    <xf numFmtId="5" fontId="26" fillId="0" borderId="38" xfId="0" applyNumberFormat="1" applyFont="1" applyFill="1" applyBorder="1"/>
    <xf numFmtId="0" fontId="26" fillId="0" borderId="36" xfId="0" applyFont="1" applyBorder="1" applyAlignment="1">
      <alignment horizontal="center"/>
    </xf>
    <xf numFmtId="9" fontId="26" fillId="0" borderId="38" xfId="0" applyNumberFormat="1" applyFont="1" applyBorder="1"/>
    <xf numFmtId="165" fontId="26" fillId="0" borderId="36" xfId="28" applyNumberFormat="1" applyFont="1" applyFill="1" applyBorder="1"/>
    <xf numFmtId="5" fontId="27" fillId="0" borderId="60" xfId="0" applyNumberFormat="1" applyFont="1" applyFill="1" applyBorder="1"/>
    <xf numFmtId="0" fontId="27" fillId="25" borderId="41" xfId="0" applyFont="1" applyFill="1" applyBorder="1" applyAlignment="1">
      <alignment horizontal="right"/>
    </xf>
    <xf numFmtId="5" fontId="27" fillId="25" borderId="45" xfId="0" applyNumberFormat="1" applyFont="1" applyFill="1" applyBorder="1"/>
    <xf numFmtId="5" fontId="27" fillId="25" borderId="42" xfId="0" applyNumberFormat="1" applyFont="1" applyFill="1" applyBorder="1"/>
    <xf numFmtId="5" fontId="27" fillId="25" borderId="58" xfId="0" applyNumberFormat="1" applyFont="1" applyFill="1" applyBorder="1"/>
    <xf numFmtId="5" fontId="27" fillId="25" borderId="59" xfId="0" applyNumberFormat="1" applyFont="1" applyFill="1" applyBorder="1"/>
    <xf numFmtId="5" fontId="27" fillId="25" borderId="44" xfId="0" applyNumberFormat="1" applyFont="1" applyFill="1" applyBorder="1"/>
    <xf numFmtId="164" fontId="27" fillId="25" borderId="45" xfId="42" applyNumberFormat="1" applyFont="1" applyFill="1" applyBorder="1" applyAlignment="1">
      <alignment horizontal="center"/>
    </xf>
    <xf numFmtId="0" fontId="28" fillId="0" borderId="0" xfId="0" applyFont="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43" fontId="26" fillId="0" borderId="51" xfId="28" applyFont="1" applyBorder="1" applyAlignment="1">
      <alignment horizontal="center"/>
    </xf>
    <xf numFmtId="43" fontId="26" fillId="0" borderId="50" xfId="28" applyFont="1" applyBorder="1" applyAlignment="1">
      <alignment horizontal="center"/>
    </xf>
    <xf numFmtId="43" fontId="26" fillId="0" borderId="52" xfId="28" applyFont="1" applyBorder="1" applyAlignment="1">
      <alignment horizontal="center"/>
    </xf>
    <xf numFmtId="0" fontId="26" fillId="0" borderId="48" xfId="0" applyFont="1" applyBorder="1" applyAlignment="1">
      <alignment horizontal="center"/>
    </xf>
    <xf numFmtId="0" fontId="26" fillId="0" borderId="53" xfId="0" applyFont="1" applyBorder="1" applyAlignment="1">
      <alignment horizontal="center"/>
    </xf>
    <xf numFmtId="0" fontId="26" fillId="0" borderId="49" xfId="0" applyFont="1" applyBorder="1" applyAlignment="1">
      <alignment horizontal="center"/>
    </xf>
    <xf numFmtId="0" fontId="26" fillId="0" borderId="57" xfId="0" applyFont="1" applyBorder="1" applyAlignment="1">
      <alignment horizontal="center"/>
    </xf>
    <xf numFmtId="0" fontId="28" fillId="0" borderId="0" xfId="0" applyFont="1" applyFill="1" applyAlignment="1">
      <alignment horizontal="center"/>
    </xf>
    <xf numFmtId="0" fontId="26" fillId="0" borderId="51" xfId="0" applyFont="1" applyFill="1" applyBorder="1" applyAlignment="1">
      <alignment horizontal="center"/>
    </xf>
    <xf numFmtId="0" fontId="26" fillId="0" borderId="52" xfId="0" applyFont="1" applyFill="1" applyBorder="1" applyAlignment="1">
      <alignment horizontal="center"/>
    </xf>
    <xf numFmtId="43" fontId="26" fillId="0" borderId="51" xfId="28" applyFont="1" applyFill="1" applyBorder="1" applyAlignment="1">
      <alignment horizontal="center"/>
    </xf>
    <xf numFmtId="43" fontId="26" fillId="0" borderId="50" xfId="28" applyFont="1" applyFill="1" applyBorder="1" applyAlignment="1">
      <alignment horizontal="center"/>
    </xf>
    <xf numFmtId="43" fontId="26" fillId="0" borderId="53" xfId="28" applyFont="1" applyFill="1" applyBorder="1" applyAlignment="1">
      <alignment horizontal="center"/>
    </xf>
    <xf numFmtId="0" fontId="26" fillId="0" borderId="48" xfId="0" applyFont="1" applyFill="1" applyBorder="1" applyAlignment="1">
      <alignment horizontal="center"/>
    </xf>
    <xf numFmtId="0" fontId="26" fillId="0" borderId="49" xfId="0" applyFont="1" applyFill="1" applyBorder="1" applyAlignment="1">
      <alignment horizontal="center"/>
    </xf>
    <xf numFmtId="0" fontId="26" fillId="0" borderId="57" xfId="0"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2"/>
  <sheetViews>
    <sheetView tabSelected="1" view="pageBreakPreview" zoomScale="80" zoomScaleNormal="75" zoomScaleSheetLayoutView="80" workbookViewId="0">
      <pane xSplit="1" topLeftCell="B1" activePane="topRight" state="frozen"/>
      <selection pane="topRight" activeCell="F12" sqref="F12"/>
    </sheetView>
  </sheetViews>
  <sheetFormatPr defaultColWidth="9.140625" defaultRowHeight="18" x14ac:dyDescent="0.35"/>
  <cols>
    <col min="1" max="1" width="35.42578125" style="16" customWidth="1"/>
    <col min="2" max="2" width="17.85546875" style="16" bestFit="1" customWidth="1"/>
    <col min="3" max="3" width="15.140625" style="16" bestFit="1" customWidth="1"/>
    <col min="4" max="4" width="17.85546875" style="16" bestFit="1" customWidth="1"/>
    <col min="5" max="5" width="15.28515625" style="16" bestFit="1" customWidth="1"/>
    <col min="6" max="6" width="15.28515625" style="16" customWidth="1"/>
    <col min="7" max="7" width="17.42578125" style="16" bestFit="1" customWidth="1"/>
    <col min="8" max="8" width="14.42578125" style="16" bestFit="1" customWidth="1"/>
    <col min="9" max="9" width="17.140625" style="16" hidden="1" customWidth="1"/>
    <col min="10" max="10" width="14.5703125" style="16" customWidth="1"/>
    <col min="11" max="11" width="17.140625" style="16" customWidth="1"/>
    <col min="12" max="12" width="17.140625" style="16" bestFit="1" customWidth="1"/>
    <col min="13" max="13" width="16.140625" style="16" customWidth="1"/>
    <col min="14" max="14" width="17.85546875" style="16" bestFit="1" customWidth="1"/>
    <col min="15" max="15" width="16.28515625" style="16" bestFit="1" customWidth="1"/>
    <col min="16" max="16" width="13" style="16" customWidth="1"/>
    <col min="17" max="17" width="6.5703125" style="14" customWidth="1"/>
    <col min="18" max="18" width="11.5703125" style="32" customWidth="1"/>
    <col min="19" max="16384" width="9.140625" style="14"/>
  </cols>
  <sheetData>
    <row r="1" spans="1:18" s="16" customFormat="1" ht="22.5" x14ac:dyDescent="0.4">
      <c r="A1" s="262" t="s">
        <v>108</v>
      </c>
      <c r="B1" s="262"/>
      <c r="C1" s="262"/>
      <c r="D1" s="262"/>
      <c r="E1" s="262"/>
      <c r="F1" s="262"/>
      <c r="G1" s="262"/>
      <c r="H1" s="262"/>
      <c r="I1" s="262"/>
      <c r="J1" s="262"/>
      <c r="K1" s="262"/>
      <c r="L1" s="262"/>
      <c r="M1" s="262"/>
      <c r="N1" s="262"/>
      <c r="O1" s="262"/>
      <c r="P1" s="262"/>
      <c r="R1" s="32"/>
    </row>
    <row r="2" spans="1:18" s="16" customFormat="1" ht="18.75" thickBot="1" x14ac:dyDescent="0.4">
      <c r="K2" s="35"/>
      <c r="L2" s="35"/>
      <c r="M2" s="35"/>
      <c r="N2" s="35"/>
      <c r="O2" s="35"/>
      <c r="P2" s="35"/>
      <c r="R2" s="32"/>
    </row>
    <row r="3" spans="1:18" s="16" customFormat="1" x14ac:dyDescent="0.35">
      <c r="A3" s="17"/>
      <c r="B3" s="54" t="s">
        <v>104</v>
      </c>
      <c r="C3" s="263" t="s">
        <v>109</v>
      </c>
      <c r="D3" s="264"/>
      <c r="E3" s="268" t="s">
        <v>110</v>
      </c>
      <c r="F3" s="269"/>
      <c r="G3" s="270"/>
      <c r="H3" s="270"/>
      <c r="I3" s="270"/>
      <c r="J3" s="271"/>
      <c r="K3" s="77" t="s">
        <v>109</v>
      </c>
      <c r="L3" s="265" t="s">
        <v>109</v>
      </c>
      <c r="M3" s="266"/>
      <c r="N3" s="267"/>
      <c r="O3" s="78" t="s">
        <v>48</v>
      </c>
      <c r="P3" s="54" t="s">
        <v>15</v>
      </c>
      <c r="R3" s="32"/>
    </row>
    <row r="4" spans="1:18" s="16" customFormat="1" x14ac:dyDescent="0.35">
      <c r="A4" s="18"/>
      <c r="B4" s="55" t="s">
        <v>15</v>
      </c>
      <c r="C4" s="72" t="s">
        <v>75</v>
      </c>
      <c r="D4" s="79" t="s">
        <v>63</v>
      </c>
      <c r="E4" s="92" t="s">
        <v>57</v>
      </c>
      <c r="F4" s="72" t="s">
        <v>115</v>
      </c>
      <c r="G4" s="98" t="s">
        <v>45</v>
      </c>
      <c r="H4" s="98" t="s">
        <v>43</v>
      </c>
      <c r="I4" s="98" t="s">
        <v>68</v>
      </c>
      <c r="J4" s="99" t="s">
        <v>60</v>
      </c>
      <c r="K4" s="100" t="s">
        <v>14</v>
      </c>
      <c r="L4" s="101" t="s">
        <v>15</v>
      </c>
      <c r="M4" s="102" t="s">
        <v>14</v>
      </c>
      <c r="N4" s="103" t="s">
        <v>73</v>
      </c>
      <c r="O4" s="101" t="s">
        <v>15</v>
      </c>
      <c r="P4" s="104" t="s">
        <v>64</v>
      </c>
      <c r="R4" s="32"/>
    </row>
    <row r="5" spans="1:18" s="16" customFormat="1" x14ac:dyDescent="0.35">
      <c r="A5" s="19" t="s">
        <v>0</v>
      </c>
      <c r="B5" s="56" t="s">
        <v>47</v>
      </c>
      <c r="C5" s="73" t="s">
        <v>58</v>
      </c>
      <c r="D5" s="56" t="s">
        <v>44</v>
      </c>
      <c r="E5" s="93" t="s">
        <v>58</v>
      </c>
      <c r="F5" s="251" t="s">
        <v>116</v>
      </c>
      <c r="G5" s="105" t="s">
        <v>46</v>
      </c>
      <c r="H5" s="105" t="s">
        <v>46</v>
      </c>
      <c r="I5" s="106" t="s">
        <v>67</v>
      </c>
      <c r="J5" s="56" t="s">
        <v>15</v>
      </c>
      <c r="K5" s="107" t="s">
        <v>70</v>
      </c>
      <c r="L5" s="108" t="s">
        <v>47</v>
      </c>
      <c r="M5" s="106" t="s">
        <v>47</v>
      </c>
      <c r="N5" s="56" t="s">
        <v>47</v>
      </c>
      <c r="O5" s="108" t="s">
        <v>47</v>
      </c>
      <c r="P5" s="109" t="s">
        <v>65</v>
      </c>
      <c r="R5" s="32"/>
    </row>
    <row r="6" spans="1:18" x14ac:dyDescent="0.35">
      <c r="A6" s="20" t="s">
        <v>103</v>
      </c>
      <c r="B6" s="57"/>
      <c r="C6" s="74"/>
      <c r="D6" s="57"/>
      <c r="E6" s="94"/>
      <c r="F6" s="252"/>
      <c r="G6" s="110"/>
      <c r="H6" s="110"/>
      <c r="I6" s="111"/>
      <c r="J6" s="57"/>
      <c r="K6" s="117"/>
      <c r="L6" s="94"/>
      <c r="M6" s="110"/>
      <c r="N6" s="121"/>
      <c r="O6" s="122"/>
      <c r="P6" s="57"/>
    </row>
    <row r="7" spans="1:18" x14ac:dyDescent="0.35">
      <c r="A7" s="18" t="s">
        <v>1</v>
      </c>
      <c r="B7" s="58">
        <v>66773300</v>
      </c>
      <c r="C7" s="33">
        <v>1831800</v>
      </c>
      <c r="D7" s="58">
        <f t="shared" ref="D7:D12" si="0">SUM(B7:C7)</f>
        <v>68605100</v>
      </c>
      <c r="E7" s="95">
        <v>1712000</v>
      </c>
      <c r="F7" s="245">
        <v>528300</v>
      </c>
      <c r="G7" s="111">
        <v>2683000</v>
      </c>
      <c r="H7" s="111">
        <v>304400</v>
      </c>
      <c r="I7" s="111">
        <v>0</v>
      </c>
      <c r="J7" s="58">
        <v>0</v>
      </c>
      <c r="K7" s="239">
        <v>750000</v>
      </c>
      <c r="L7" s="95">
        <f t="shared" ref="L7:L12" si="1">SUM(D7,E7:J7)</f>
        <v>73832800</v>
      </c>
      <c r="M7" s="111">
        <f>SUM(K7:K7)</f>
        <v>750000</v>
      </c>
      <c r="N7" s="84">
        <f t="shared" ref="N7:N12" si="2">L7+M7</f>
        <v>74582800</v>
      </c>
      <c r="O7" s="95">
        <f t="shared" ref="O7:O12" si="3">L7-B7</f>
        <v>7059500</v>
      </c>
      <c r="P7" s="55">
        <f t="shared" ref="P7:P13" si="4">L7/B7-1</f>
        <v>0.10572339542901132</v>
      </c>
      <c r="Q7" s="15"/>
      <c r="R7" s="137"/>
    </row>
    <row r="8" spans="1:18" x14ac:dyDescent="0.35">
      <c r="A8" s="18" t="s">
        <v>2</v>
      </c>
      <c r="B8" s="59">
        <v>89413300</v>
      </c>
      <c r="C8" s="69">
        <v>329100</v>
      </c>
      <c r="D8" s="59">
        <f t="shared" si="0"/>
        <v>89742400</v>
      </c>
      <c r="E8" s="96">
        <v>2187000</v>
      </c>
      <c r="F8" s="246">
        <v>691000</v>
      </c>
      <c r="G8" s="112">
        <v>4406500</v>
      </c>
      <c r="H8" s="112">
        <v>565800</v>
      </c>
      <c r="I8" s="112">
        <v>0</v>
      </c>
      <c r="J8" s="59">
        <v>0</v>
      </c>
      <c r="K8" s="240">
        <v>0</v>
      </c>
      <c r="L8" s="96">
        <f t="shared" si="1"/>
        <v>97592700</v>
      </c>
      <c r="M8" s="112">
        <f t="shared" ref="M8:M12" si="5">SUM(K8:K8)</f>
        <v>0</v>
      </c>
      <c r="N8" s="86">
        <f t="shared" si="2"/>
        <v>97592700</v>
      </c>
      <c r="O8" s="96">
        <f t="shared" si="3"/>
        <v>8179400</v>
      </c>
      <c r="P8" s="55">
        <f t="shared" si="4"/>
        <v>9.1478560795765329E-2</v>
      </c>
      <c r="R8" s="230"/>
    </row>
    <row r="9" spans="1:18" x14ac:dyDescent="0.35">
      <c r="A9" s="18" t="s">
        <v>3</v>
      </c>
      <c r="B9" s="59">
        <v>126537400</v>
      </c>
      <c r="C9" s="69">
        <v>-1078800</v>
      </c>
      <c r="D9" s="59">
        <f t="shared" si="0"/>
        <v>125458600</v>
      </c>
      <c r="E9" s="81">
        <v>3130700</v>
      </c>
      <c r="F9" s="247">
        <v>966000</v>
      </c>
      <c r="G9" s="85">
        <v>6095000</v>
      </c>
      <c r="H9" s="85">
        <v>684700</v>
      </c>
      <c r="I9" s="85">
        <v>0</v>
      </c>
      <c r="J9" s="86">
        <v>0</v>
      </c>
      <c r="K9" s="241">
        <v>0</v>
      </c>
      <c r="L9" s="81">
        <f t="shared" si="1"/>
        <v>136335000</v>
      </c>
      <c r="M9" s="112">
        <f t="shared" si="5"/>
        <v>0</v>
      </c>
      <c r="N9" s="86">
        <f t="shared" si="2"/>
        <v>136335000</v>
      </c>
      <c r="O9" s="96">
        <f t="shared" si="3"/>
        <v>9797600</v>
      </c>
      <c r="P9" s="55">
        <f t="shared" si="4"/>
        <v>7.7428491497375518E-2</v>
      </c>
      <c r="R9" s="230"/>
    </row>
    <row r="10" spans="1:18" x14ac:dyDescent="0.35">
      <c r="A10" s="18" t="s">
        <v>4</v>
      </c>
      <c r="B10" s="59">
        <v>47671200</v>
      </c>
      <c r="C10" s="69">
        <v>132500</v>
      </c>
      <c r="D10" s="59">
        <f t="shared" si="0"/>
        <v>47803700</v>
      </c>
      <c r="E10" s="81">
        <v>1192900</v>
      </c>
      <c r="F10" s="247">
        <v>368100</v>
      </c>
      <c r="G10" s="85">
        <v>2779500</v>
      </c>
      <c r="H10" s="85">
        <v>303400</v>
      </c>
      <c r="I10" s="85">
        <v>0</v>
      </c>
      <c r="J10" s="86">
        <v>0</v>
      </c>
      <c r="K10" s="241">
        <v>0</v>
      </c>
      <c r="L10" s="81">
        <f t="shared" si="1"/>
        <v>52447600</v>
      </c>
      <c r="M10" s="112">
        <f t="shared" si="5"/>
        <v>0</v>
      </c>
      <c r="N10" s="86">
        <f t="shared" si="2"/>
        <v>52447600</v>
      </c>
      <c r="O10" s="96">
        <f t="shared" si="3"/>
        <v>4776400</v>
      </c>
      <c r="P10" s="55">
        <f t="shared" si="4"/>
        <v>0.10019466680091971</v>
      </c>
      <c r="R10" s="230"/>
    </row>
    <row r="11" spans="1:18" x14ac:dyDescent="0.35">
      <c r="A11" s="18" t="s">
        <v>5</v>
      </c>
      <c r="B11" s="59">
        <v>74695300</v>
      </c>
      <c r="C11" s="69">
        <v>251900</v>
      </c>
      <c r="D11" s="59">
        <f t="shared" si="0"/>
        <v>74947200</v>
      </c>
      <c r="E11" s="81">
        <v>1708000</v>
      </c>
      <c r="F11" s="247">
        <v>577100</v>
      </c>
      <c r="G11" s="85">
        <v>2920000</v>
      </c>
      <c r="H11" s="85">
        <v>352400</v>
      </c>
      <c r="I11" s="85">
        <v>0</v>
      </c>
      <c r="J11" s="86">
        <v>1000000</v>
      </c>
      <c r="K11" s="241">
        <v>200000</v>
      </c>
      <c r="L11" s="81">
        <f t="shared" si="1"/>
        <v>81504700</v>
      </c>
      <c r="M11" s="112">
        <f t="shared" si="5"/>
        <v>200000</v>
      </c>
      <c r="N11" s="86">
        <f t="shared" si="2"/>
        <v>81704700</v>
      </c>
      <c r="O11" s="96">
        <f t="shared" si="3"/>
        <v>6809400</v>
      </c>
      <c r="P11" s="55">
        <f t="shared" si="4"/>
        <v>9.1162362290532428E-2</v>
      </c>
      <c r="R11" s="230"/>
    </row>
    <row r="12" spans="1:18" x14ac:dyDescent="0.35">
      <c r="A12" s="21" t="s">
        <v>55</v>
      </c>
      <c r="B12" s="60">
        <v>151179000</v>
      </c>
      <c r="C12" s="70">
        <v>1323100</v>
      </c>
      <c r="D12" s="60">
        <f t="shared" si="0"/>
        <v>152502100</v>
      </c>
      <c r="E12" s="82">
        <v>3805500</v>
      </c>
      <c r="F12" s="253">
        <v>1174300</v>
      </c>
      <c r="G12" s="87">
        <v>7450000</v>
      </c>
      <c r="H12" s="87">
        <v>710700</v>
      </c>
      <c r="I12" s="87">
        <v>0</v>
      </c>
      <c r="J12" s="88">
        <v>0</v>
      </c>
      <c r="K12" s="242">
        <v>0</v>
      </c>
      <c r="L12" s="82">
        <f t="shared" si="1"/>
        <v>165642600</v>
      </c>
      <c r="M12" s="123">
        <f t="shared" si="5"/>
        <v>0</v>
      </c>
      <c r="N12" s="88">
        <f t="shared" si="2"/>
        <v>165642600</v>
      </c>
      <c r="O12" s="124">
        <f t="shared" si="3"/>
        <v>14463600</v>
      </c>
      <c r="P12" s="56">
        <f t="shared" si="4"/>
        <v>9.5672017938999376E-2</v>
      </c>
      <c r="R12" s="230"/>
    </row>
    <row r="13" spans="1:18" s="16" customFormat="1" x14ac:dyDescent="0.35">
      <c r="A13" s="22" t="s">
        <v>6</v>
      </c>
      <c r="B13" s="61">
        <f t="shared" ref="B13:O13" si="6">SUM(B7:B12)</f>
        <v>556269500</v>
      </c>
      <c r="C13" s="71">
        <f>SUM(C7:C12)</f>
        <v>2789600</v>
      </c>
      <c r="D13" s="61">
        <f>SUM(D7:D12)</f>
        <v>559059100</v>
      </c>
      <c r="E13" s="91">
        <f t="shared" si="6"/>
        <v>13736100</v>
      </c>
      <c r="F13" s="248">
        <f t="shared" si="6"/>
        <v>4304800</v>
      </c>
      <c r="G13" s="89">
        <f t="shared" si="6"/>
        <v>26334000</v>
      </c>
      <c r="H13" s="89">
        <f t="shared" si="6"/>
        <v>2921400</v>
      </c>
      <c r="I13" s="89">
        <f>SUM(I7:I12)</f>
        <v>0</v>
      </c>
      <c r="J13" s="90">
        <f t="shared" si="6"/>
        <v>1000000</v>
      </c>
      <c r="K13" s="118">
        <f t="shared" si="6"/>
        <v>950000</v>
      </c>
      <c r="L13" s="91">
        <f>SUM(L7:L12)</f>
        <v>607355400</v>
      </c>
      <c r="M13" s="125">
        <f t="shared" si="6"/>
        <v>950000</v>
      </c>
      <c r="N13" s="90">
        <f t="shared" si="6"/>
        <v>608305400</v>
      </c>
      <c r="O13" s="126">
        <f t="shared" si="6"/>
        <v>51085900</v>
      </c>
      <c r="P13" s="127">
        <f t="shared" si="4"/>
        <v>9.183660078433209E-2</v>
      </c>
      <c r="R13" s="137"/>
    </row>
    <row r="14" spans="1:18" x14ac:dyDescent="0.35">
      <c r="A14" s="22"/>
      <c r="B14" s="61"/>
      <c r="C14" s="71"/>
      <c r="D14" s="61"/>
      <c r="E14" s="91"/>
      <c r="F14" s="248"/>
      <c r="G14" s="89"/>
      <c r="H14" s="89"/>
      <c r="I14" s="89"/>
      <c r="J14" s="90"/>
      <c r="K14" s="118"/>
      <c r="L14" s="91"/>
      <c r="M14" s="125"/>
      <c r="N14" s="90"/>
      <c r="O14" s="126"/>
      <c r="P14" s="127"/>
      <c r="R14" s="137"/>
    </row>
    <row r="15" spans="1:18" x14ac:dyDescent="0.35">
      <c r="A15" s="20" t="s">
        <v>8</v>
      </c>
      <c r="B15" s="62"/>
      <c r="C15" s="75"/>
      <c r="D15" s="62"/>
      <c r="E15" s="40"/>
      <c r="F15" s="249"/>
      <c r="G15" s="113"/>
      <c r="H15" s="113"/>
      <c r="I15" s="113"/>
      <c r="J15" s="115"/>
      <c r="K15" s="119"/>
      <c r="L15" s="40"/>
      <c r="M15" s="128"/>
      <c r="N15" s="115"/>
      <c r="O15" s="129"/>
      <c r="P15" s="55"/>
      <c r="R15" s="137"/>
    </row>
    <row r="16" spans="1:18" x14ac:dyDescent="0.35">
      <c r="A16" s="18" t="s">
        <v>9</v>
      </c>
      <c r="B16" s="58">
        <v>71977100</v>
      </c>
      <c r="C16" s="33">
        <v>-384400</v>
      </c>
      <c r="D16" s="58">
        <f>SUM(B16:C16)</f>
        <v>71592700</v>
      </c>
      <c r="E16" s="80">
        <v>1786500</v>
      </c>
      <c r="F16" s="250">
        <v>551300</v>
      </c>
      <c r="G16" s="83">
        <v>3523500</v>
      </c>
      <c r="H16" s="83">
        <v>411500</v>
      </c>
      <c r="I16" s="83">
        <v>0</v>
      </c>
      <c r="J16" s="84">
        <v>0</v>
      </c>
      <c r="K16" s="243">
        <v>0</v>
      </c>
      <c r="L16" s="80">
        <f t="shared" ref="L16" si="7">SUM(D16,E16:J16)</f>
        <v>77865500</v>
      </c>
      <c r="M16" s="111">
        <f t="shared" ref="M16:M18" si="8">SUM(K16:K16)</f>
        <v>0</v>
      </c>
      <c r="N16" s="84">
        <f>L16+M16</f>
        <v>77865500</v>
      </c>
      <c r="O16" s="95">
        <f>L16-B16</f>
        <v>5888400</v>
      </c>
      <c r="P16" s="55">
        <f>L16/B16-1</f>
        <v>8.1809353252631833E-2</v>
      </c>
      <c r="R16" s="137"/>
    </row>
    <row r="17" spans="1:18" x14ac:dyDescent="0.35">
      <c r="A17" s="18" t="s">
        <v>10</v>
      </c>
      <c r="B17" s="59">
        <v>303375800</v>
      </c>
      <c r="C17" s="69">
        <f>3268200+300</f>
        <v>3268500</v>
      </c>
      <c r="D17" s="59">
        <f>SUM(B17:C17)</f>
        <v>306644300</v>
      </c>
      <c r="E17" s="81">
        <v>7478100</v>
      </c>
      <c r="F17" s="247">
        <v>2361200</v>
      </c>
      <c r="G17" s="85">
        <v>14615500</v>
      </c>
      <c r="H17" s="85">
        <v>1365100</v>
      </c>
      <c r="I17" s="85">
        <v>0</v>
      </c>
      <c r="J17" s="86">
        <v>0</v>
      </c>
      <c r="K17" s="241">
        <v>0</v>
      </c>
      <c r="L17" s="81">
        <f>SUM(D17,E17:J17)</f>
        <v>332464200</v>
      </c>
      <c r="M17" s="112">
        <f t="shared" si="8"/>
        <v>0</v>
      </c>
      <c r="N17" s="86">
        <f>L17+M17</f>
        <v>332464200</v>
      </c>
      <c r="O17" s="96">
        <f>L17-B17</f>
        <v>29088400</v>
      </c>
      <c r="P17" s="55">
        <f>L17/B17-1</f>
        <v>9.5882400639734522E-2</v>
      </c>
      <c r="R17" s="230"/>
    </row>
    <row r="18" spans="1:18" x14ac:dyDescent="0.35">
      <c r="A18" s="21" t="s">
        <v>11</v>
      </c>
      <c r="B18" s="60">
        <v>41369400</v>
      </c>
      <c r="C18" s="70">
        <v>675800</v>
      </c>
      <c r="D18" s="60">
        <f>SUM(B18:C18)</f>
        <v>42045200</v>
      </c>
      <c r="E18" s="82">
        <v>1033200</v>
      </c>
      <c r="F18" s="253">
        <v>323700</v>
      </c>
      <c r="G18" s="87">
        <v>1763000</v>
      </c>
      <c r="H18" s="87">
        <v>246200</v>
      </c>
      <c r="I18" s="87">
        <v>0</v>
      </c>
      <c r="J18" s="88">
        <v>0</v>
      </c>
      <c r="K18" s="242">
        <v>0</v>
      </c>
      <c r="L18" s="82">
        <f t="shared" ref="L18" si="9">SUM(D18,E18:J18)</f>
        <v>45411300</v>
      </c>
      <c r="M18" s="123">
        <f t="shared" si="8"/>
        <v>0</v>
      </c>
      <c r="N18" s="88">
        <f>L18+M18</f>
        <v>45411300</v>
      </c>
      <c r="O18" s="124">
        <f>L18-B18</f>
        <v>4041900</v>
      </c>
      <c r="P18" s="56">
        <f>L18/B18-1</f>
        <v>9.7702649784623397E-2</v>
      </c>
      <c r="R18" s="230"/>
    </row>
    <row r="19" spans="1:18" s="16" customFormat="1" x14ac:dyDescent="0.35">
      <c r="A19" s="22" t="s">
        <v>6</v>
      </c>
      <c r="B19" s="61">
        <f t="shared" ref="B19:O19" si="10">SUM(B16:B18)</f>
        <v>416722300</v>
      </c>
      <c r="C19" s="71">
        <f>SUM(C16:C18)</f>
        <v>3559900</v>
      </c>
      <c r="D19" s="61">
        <f>SUM(D16:D18)</f>
        <v>420282200</v>
      </c>
      <c r="E19" s="91">
        <f t="shared" si="10"/>
        <v>10297800</v>
      </c>
      <c r="F19" s="248">
        <f t="shared" si="10"/>
        <v>3236200</v>
      </c>
      <c r="G19" s="89">
        <f t="shared" si="10"/>
        <v>19902000</v>
      </c>
      <c r="H19" s="89">
        <f t="shared" si="10"/>
        <v>2022800</v>
      </c>
      <c r="I19" s="89">
        <f>SUM(I16:I18)</f>
        <v>0</v>
      </c>
      <c r="J19" s="90">
        <f t="shared" si="10"/>
        <v>0</v>
      </c>
      <c r="K19" s="118">
        <f t="shared" si="10"/>
        <v>0</v>
      </c>
      <c r="L19" s="91">
        <f>SUM(L16:L18)</f>
        <v>455741000</v>
      </c>
      <c r="M19" s="125">
        <f t="shared" si="10"/>
        <v>0</v>
      </c>
      <c r="N19" s="90">
        <f t="shared" si="10"/>
        <v>455741000</v>
      </c>
      <c r="O19" s="126">
        <f t="shared" si="10"/>
        <v>39018700</v>
      </c>
      <c r="P19" s="127">
        <f>L19/B19-1</f>
        <v>9.3632378204862032E-2</v>
      </c>
      <c r="R19" s="137"/>
    </row>
    <row r="20" spans="1:18" x14ac:dyDescent="0.35">
      <c r="A20" s="23"/>
      <c r="B20" s="62"/>
      <c r="C20" s="75"/>
      <c r="D20" s="62"/>
      <c r="E20" s="40"/>
      <c r="F20" s="249"/>
      <c r="G20" s="113"/>
      <c r="H20" s="113"/>
      <c r="I20" s="113"/>
      <c r="J20" s="115"/>
      <c r="K20" s="119"/>
      <c r="L20" s="40"/>
      <c r="M20" s="128"/>
      <c r="N20" s="115"/>
      <c r="O20" s="129"/>
      <c r="P20" s="55"/>
      <c r="R20" s="137"/>
    </row>
    <row r="21" spans="1:18" x14ac:dyDescent="0.35">
      <c r="A21" s="20" t="s">
        <v>56</v>
      </c>
      <c r="B21" s="61">
        <v>357415500</v>
      </c>
      <c r="C21" s="71">
        <v>-5516500</v>
      </c>
      <c r="D21" s="61">
        <f>SUM(B21:C21)</f>
        <v>351899000</v>
      </c>
      <c r="E21" s="91">
        <f>8781500+1805000</f>
        <v>10586500</v>
      </c>
      <c r="F21" s="248">
        <v>2709600</v>
      </c>
      <c r="G21" s="89">
        <v>13989000</v>
      </c>
      <c r="H21" s="89">
        <v>1383000</v>
      </c>
      <c r="I21" s="89">
        <v>0</v>
      </c>
      <c r="J21" s="90">
        <v>0</v>
      </c>
      <c r="K21" s="118">
        <v>0</v>
      </c>
      <c r="L21" s="91">
        <f>SUM(D21,E21:J21)</f>
        <v>380567100</v>
      </c>
      <c r="M21" s="125">
        <f>SUM(K21:K21)</f>
        <v>0</v>
      </c>
      <c r="N21" s="90">
        <f>L21+M21</f>
        <v>380567100</v>
      </c>
      <c r="O21" s="126">
        <f>L21-B21</f>
        <v>23151600</v>
      </c>
      <c r="P21" s="127">
        <f>L21/B21-1</f>
        <v>6.4775030741532014E-2</v>
      </c>
      <c r="R21" s="137"/>
    </row>
    <row r="22" spans="1:18" x14ac:dyDescent="0.35">
      <c r="A22" s="22"/>
      <c r="B22" s="61"/>
      <c r="C22" s="71"/>
      <c r="D22" s="61"/>
      <c r="E22" s="91"/>
      <c r="F22" s="248"/>
      <c r="G22" s="89"/>
      <c r="H22" s="89"/>
      <c r="I22" s="89"/>
      <c r="J22" s="90"/>
      <c r="K22" s="118"/>
      <c r="L22" s="91"/>
      <c r="M22" s="125"/>
      <c r="N22" s="90"/>
      <c r="O22" s="126"/>
      <c r="P22" s="127"/>
      <c r="R22" s="137"/>
    </row>
    <row r="23" spans="1:18" s="16" customFormat="1" x14ac:dyDescent="0.35">
      <c r="A23" s="24" t="s">
        <v>12</v>
      </c>
      <c r="B23" s="61">
        <f t="shared" ref="B23:N23" si="11">B19+B21+B13</f>
        <v>1330407300</v>
      </c>
      <c r="C23" s="71">
        <f>C19+C21+C13</f>
        <v>833000</v>
      </c>
      <c r="D23" s="61">
        <f>D19+D21+D13</f>
        <v>1331240300</v>
      </c>
      <c r="E23" s="91">
        <f t="shared" si="11"/>
        <v>34620400</v>
      </c>
      <c r="F23" s="248">
        <f t="shared" si="11"/>
        <v>10250600</v>
      </c>
      <c r="G23" s="89">
        <f t="shared" si="11"/>
        <v>60225000</v>
      </c>
      <c r="H23" s="89">
        <f t="shared" si="11"/>
        <v>6327200</v>
      </c>
      <c r="I23" s="89">
        <f>I19+I21+I13</f>
        <v>0</v>
      </c>
      <c r="J23" s="90">
        <f t="shared" si="11"/>
        <v>1000000</v>
      </c>
      <c r="K23" s="118">
        <f>K19+K21+K13</f>
        <v>950000</v>
      </c>
      <c r="L23" s="91">
        <f>L19+L21+L13</f>
        <v>1443663500</v>
      </c>
      <c r="M23" s="125">
        <f>M19+M21+M13</f>
        <v>950000</v>
      </c>
      <c r="N23" s="90">
        <f t="shared" si="11"/>
        <v>1444613500</v>
      </c>
      <c r="O23" s="126">
        <f>O19+O21+O13</f>
        <v>113256200</v>
      </c>
      <c r="P23" s="127">
        <f>L23/B23-1</f>
        <v>8.512896764772715E-2</v>
      </c>
      <c r="R23" s="137"/>
    </row>
    <row r="24" spans="1:18" x14ac:dyDescent="0.35">
      <c r="A24" s="18"/>
      <c r="B24" s="62"/>
      <c r="C24" s="75"/>
      <c r="D24" s="62"/>
      <c r="E24" s="40"/>
      <c r="F24" s="249"/>
      <c r="G24" s="113"/>
      <c r="H24" s="113"/>
      <c r="I24" s="113"/>
      <c r="J24" s="115"/>
      <c r="K24" s="119"/>
      <c r="L24" s="40"/>
      <c r="M24" s="128"/>
      <c r="N24" s="115"/>
      <c r="O24" s="129"/>
      <c r="P24" s="55"/>
      <c r="R24" s="137"/>
    </row>
    <row r="25" spans="1:18" x14ac:dyDescent="0.35">
      <c r="A25" s="20" t="s">
        <v>74</v>
      </c>
      <c r="B25" s="61">
        <v>105030600</v>
      </c>
      <c r="C25" s="71">
        <v>-832700</v>
      </c>
      <c r="D25" s="61">
        <f>SUM(B25:C25)</f>
        <v>104197900</v>
      </c>
      <c r="E25" s="91">
        <v>2184600</v>
      </c>
      <c r="F25" s="125">
        <v>802300</v>
      </c>
      <c r="G25" s="248">
        <v>3571000</v>
      </c>
      <c r="H25" s="89">
        <v>362700</v>
      </c>
      <c r="I25" s="89">
        <v>0</v>
      </c>
      <c r="J25" s="90">
        <v>0</v>
      </c>
      <c r="K25" s="118">
        <v>9500000</v>
      </c>
      <c r="L25" s="91">
        <f>SUM(D25,E25:J25)</f>
        <v>111118500</v>
      </c>
      <c r="M25" s="125">
        <f>SUM(K25:K25)</f>
        <v>9500000</v>
      </c>
      <c r="N25" s="90">
        <f>L25+M25</f>
        <v>120618500</v>
      </c>
      <c r="O25" s="126">
        <f>L25-B25</f>
        <v>6087900</v>
      </c>
      <c r="P25" s="127">
        <f>L25/B25-1</f>
        <v>5.7963107894270838E-2</v>
      </c>
      <c r="R25" s="137"/>
    </row>
    <row r="26" spans="1:18" x14ac:dyDescent="0.35">
      <c r="A26" s="18"/>
      <c r="B26" s="62"/>
      <c r="C26" s="75"/>
      <c r="D26" s="62"/>
      <c r="E26" s="40"/>
      <c r="F26" s="249"/>
      <c r="G26" s="113"/>
      <c r="H26" s="113"/>
      <c r="I26" s="113"/>
      <c r="J26" s="115"/>
      <c r="K26" s="119"/>
      <c r="L26" s="40"/>
      <c r="M26" s="128"/>
      <c r="N26" s="115"/>
      <c r="O26" s="129"/>
      <c r="P26" s="55"/>
      <c r="R26" s="137"/>
    </row>
    <row r="27" spans="1:18" s="16" customFormat="1" ht="18.75" thickBot="1" x14ac:dyDescent="0.4">
      <c r="A27" s="25" t="s">
        <v>13</v>
      </c>
      <c r="B27" s="63">
        <f t="shared" ref="B27:J27" si="12">B23+B25</f>
        <v>1435437900</v>
      </c>
      <c r="C27" s="76">
        <f t="shared" si="12"/>
        <v>300</v>
      </c>
      <c r="D27" s="63">
        <f>D23+D25</f>
        <v>1435438200</v>
      </c>
      <c r="E27" s="97">
        <f t="shared" si="12"/>
        <v>36805000</v>
      </c>
      <c r="F27" s="254">
        <f t="shared" si="12"/>
        <v>11052900</v>
      </c>
      <c r="G27" s="114">
        <f t="shared" si="12"/>
        <v>63796000</v>
      </c>
      <c r="H27" s="114">
        <f t="shared" si="12"/>
        <v>6689900</v>
      </c>
      <c r="I27" s="114">
        <f>I23+I25</f>
        <v>0</v>
      </c>
      <c r="J27" s="116">
        <f t="shared" si="12"/>
        <v>1000000</v>
      </c>
      <c r="K27" s="120">
        <f>K23+K25</f>
        <v>10450000</v>
      </c>
      <c r="L27" s="97">
        <f>L23+L25</f>
        <v>1554782000</v>
      </c>
      <c r="M27" s="130">
        <f>M23+M25</f>
        <v>10450000</v>
      </c>
      <c r="N27" s="116">
        <f>N23+N25</f>
        <v>1565232000</v>
      </c>
      <c r="O27" s="131">
        <f>O23+O25</f>
        <v>119344100</v>
      </c>
      <c r="P27" s="132">
        <f>L27/B27-1</f>
        <v>8.3141249092001823E-2</v>
      </c>
      <c r="R27" s="137"/>
    </row>
    <row r="28" spans="1:18" x14ac:dyDescent="0.35">
      <c r="A28" s="26"/>
      <c r="B28" s="64"/>
      <c r="C28" s="64"/>
      <c r="D28" s="64"/>
      <c r="E28" s="64"/>
      <c r="F28" s="64"/>
      <c r="G28" s="64"/>
      <c r="H28" s="64"/>
      <c r="I28" s="64"/>
      <c r="J28" s="64"/>
      <c r="K28" s="64"/>
      <c r="L28" s="64"/>
      <c r="M28" s="64"/>
      <c r="N28" s="64"/>
      <c r="O28" s="64"/>
      <c r="P28" s="133"/>
    </row>
    <row r="29" spans="1:18" x14ac:dyDescent="0.35">
      <c r="A29" s="27"/>
      <c r="B29" s="27"/>
      <c r="C29" s="27"/>
      <c r="D29" s="27"/>
      <c r="E29" s="65"/>
      <c r="F29" s="65"/>
      <c r="G29" s="27"/>
      <c r="H29" s="65"/>
      <c r="I29" s="27"/>
      <c r="J29" s="27"/>
      <c r="K29" s="27"/>
      <c r="L29" s="27"/>
      <c r="M29" s="27"/>
      <c r="N29" s="27"/>
      <c r="O29" s="27"/>
      <c r="P29" s="27"/>
    </row>
    <row r="30" spans="1:18" x14ac:dyDescent="0.35">
      <c r="A30" s="27"/>
      <c r="B30" s="65"/>
      <c r="C30" s="65"/>
      <c r="D30" s="65"/>
      <c r="E30" s="65"/>
      <c r="F30" s="65"/>
      <c r="G30" s="65"/>
      <c r="H30" s="65"/>
      <c r="I30" s="65"/>
      <c r="J30" s="65"/>
      <c r="K30" s="65"/>
      <c r="L30" s="65"/>
      <c r="M30" s="65"/>
      <c r="N30" s="65"/>
      <c r="O30" s="65"/>
      <c r="P30" s="27"/>
    </row>
    <row r="31" spans="1:18" x14ac:dyDescent="0.35">
      <c r="A31" s="27"/>
      <c r="B31" s="65"/>
      <c r="C31" s="65"/>
      <c r="D31" s="65"/>
      <c r="E31" s="65"/>
      <c r="F31" s="65"/>
      <c r="G31" s="65"/>
      <c r="H31" s="65"/>
      <c r="I31" s="65"/>
      <c r="J31" s="65"/>
      <c r="K31" s="65"/>
      <c r="L31" s="65"/>
      <c r="M31" s="65"/>
      <c r="N31" s="65"/>
      <c r="O31" s="65"/>
      <c r="P31" s="27"/>
    </row>
    <row r="32" spans="1:18" x14ac:dyDescent="0.35">
      <c r="A32" s="28" t="s">
        <v>61</v>
      </c>
      <c r="B32" s="66">
        <f t="shared" ref="B32:G32" si="13">SUM(B16:B18)</f>
        <v>416722300</v>
      </c>
      <c r="C32" s="66">
        <f t="shared" si="13"/>
        <v>3559900</v>
      </c>
      <c r="D32" s="66">
        <f>SUM(D16:D18)</f>
        <v>420282200</v>
      </c>
      <c r="E32" s="66">
        <f t="shared" si="13"/>
        <v>10297800</v>
      </c>
      <c r="F32" s="66"/>
      <c r="G32" s="66">
        <f t="shared" si="13"/>
        <v>19902000</v>
      </c>
      <c r="H32" s="66">
        <f>SUM(H16:H18)</f>
        <v>2022800</v>
      </c>
      <c r="I32" s="66">
        <f>SUM(I16:I18)</f>
        <v>0</v>
      </c>
      <c r="J32" s="66">
        <f t="shared" ref="J32:O32" si="14">SUM(J16:J18)</f>
        <v>0</v>
      </c>
      <c r="K32" s="66">
        <f t="shared" si="14"/>
        <v>0</v>
      </c>
      <c r="L32" s="66">
        <f t="shared" si="14"/>
        <v>455741000</v>
      </c>
      <c r="M32" s="66">
        <f t="shared" si="14"/>
        <v>0</v>
      </c>
      <c r="N32" s="66">
        <f t="shared" si="14"/>
        <v>455741000</v>
      </c>
      <c r="O32" s="134">
        <f t="shared" si="14"/>
        <v>39018700</v>
      </c>
      <c r="P32" s="32"/>
    </row>
    <row r="33" spans="1:16" x14ac:dyDescent="0.35">
      <c r="A33" s="29" t="s">
        <v>91</v>
      </c>
      <c r="B33" s="67">
        <f>B13</f>
        <v>556269500</v>
      </c>
      <c r="C33" s="67">
        <f t="shared" ref="C33:O33" si="15">C13</f>
        <v>2789600</v>
      </c>
      <c r="D33" s="67">
        <f t="shared" si="15"/>
        <v>559059100</v>
      </c>
      <c r="E33" s="67">
        <f t="shared" si="15"/>
        <v>13736100</v>
      </c>
      <c r="F33" s="67"/>
      <c r="G33" s="67">
        <f t="shared" si="15"/>
        <v>26334000</v>
      </c>
      <c r="H33" s="67">
        <f t="shared" si="15"/>
        <v>2921400</v>
      </c>
      <c r="I33" s="67">
        <f t="shared" si="15"/>
        <v>0</v>
      </c>
      <c r="J33" s="67">
        <f t="shared" si="15"/>
        <v>1000000</v>
      </c>
      <c r="K33" s="67">
        <f t="shared" si="15"/>
        <v>950000</v>
      </c>
      <c r="L33" s="67">
        <f t="shared" si="15"/>
        <v>607355400</v>
      </c>
      <c r="M33" s="67">
        <f t="shared" si="15"/>
        <v>950000</v>
      </c>
      <c r="N33" s="67">
        <f t="shared" si="15"/>
        <v>608305400</v>
      </c>
      <c r="O33" s="135">
        <f t="shared" si="15"/>
        <v>51085900</v>
      </c>
      <c r="P33" s="32"/>
    </row>
    <row r="34" spans="1:16" x14ac:dyDescent="0.35">
      <c r="A34" s="30" t="s">
        <v>62</v>
      </c>
      <c r="B34" s="68">
        <f>SUM(B21,B25)</f>
        <v>462446100</v>
      </c>
      <c r="C34" s="68">
        <f t="shared" ref="C34:O34" si="16">SUM(C21,C25)</f>
        <v>-6349200</v>
      </c>
      <c r="D34" s="68">
        <f t="shared" si="16"/>
        <v>456096900</v>
      </c>
      <c r="E34" s="68">
        <f t="shared" si="16"/>
        <v>12771100</v>
      </c>
      <c r="F34" s="68"/>
      <c r="G34" s="68">
        <f t="shared" si="16"/>
        <v>17560000</v>
      </c>
      <c r="H34" s="68">
        <f t="shared" si="16"/>
        <v>1745700</v>
      </c>
      <c r="I34" s="68">
        <f t="shared" si="16"/>
        <v>0</v>
      </c>
      <c r="J34" s="68">
        <f t="shared" si="16"/>
        <v>0</v>
      </c>
      <c r="K34" s="68">
        <f t="shared" si="16"/>
        <v>9500000</v>
      </c>
      <c r="L34" s="68">
        <f t="shared" si="16"/>
        <v>491685600</v>
      </c>
      <c r="M34" s="68">
        <f t="shared" si="16"/>
        <v>9500000</v>
      </c>
      <c r="N34" s="68">
        <f t="shared" si="16"/>
        <v>501185600</v>
      </c>
      <c r="O34" s="136">
        <f t="shared" si="16"/>
        <v>29239500</v>
      </c>
      <c r="P34" s="32"/>
    </row>
    <row r="35" spans="1:16" x14ac:dyDescent="0.35">
      <c r="A35" s="31"/>
      <c r="B35" s="67">
        <f>B34+B33+B32-B27</f>
        <v>0</v>
      </c>
      <c r="C35" s="67">
        <f t="shared" ref="C35:O35" si="17">C34+C33+C32-C27</f>
        <v>0</v>
      </c>
      <c r="D35" s="67">
        <f t="shared" si="17"/>
        <v>0</v>
      </c>
      <c r="E35" s="67">
        <f t="shared" si="17"/>
        <v>0</v>
      </c>
      <c r="F35" s="67"/>
      <c r="G35" s="67">
        <f t="shared" si="17"/>
        <v>0</v>
      </c>
      <c r="H35" s="67">
        <f t="shared" si="17"/>
        <v>0</v>
      </c>
      <c r="I35" s="67">
        <f t="shared" si="17"/>
        <v>0</v>
      </c>
      <c r="J35" s="67">
        <f t="shared" si="17"/>
        <v>0</v>
      </c>
      <c r="K35" s="67">
        <f t="shared" si="17"/>
        <v>0</v>
      </c>
      <c r="L35" s="67">
        <f t="shared" si="17"/>
        <v>0</v>
      </c>
      <c r="M35" s="67">
        <f t="shared" si="17"/>
        <v>0</v>
      </c>
      <c r="N35" s="67">
        <f t="shared" si="17"/>
        <v>0</v>
      </c>
      <c r="O35" s="67">
        <f t="shared" si="17"/>
        <v>0</v>
      </c>
      <c r="P35" s="32"/>
    </row>
    <row r="36" spans="1:16" x14ac:dyDescent="0.35">
      <c r="A36" s="31"/>
      <c r="B36" s="67"/>
      <c r="C36" s="67"/>
      <c r="D36" s="67"/>
      <c r="E36" s="67"/>
      <c r="F36" s="67"/>
      <c r="G36" s="67"/>
      <c r="H36" s="67"/>
      <c r="I36" s="67"/>
      <c r="J36" s="67"/>
      <c r="K36" s="67"/>
      <c r="L36" s="67"/>
      <c r="M36" s="67"/>
      <c r="N36" s="67"/>
      <c r="O36" s="67"/>
      <c r="P36" s="32"/>
    </row>
    <row r="37" spans="1:16" x14ac:dyDescent="0.35">
      <c r="A37" s="32"/>
      <c r="B37" s="32"/>
      <c r="C37" s="32"/>
      <c r="D37" s="32"/>
      <c r="E37" s="32"/>
      <c r="F37" s="32"/>
      <c r="G37" s="32"/>
      <c r="H37" s="32"/>
      <c r="I37" s="32"/>
      <c r="J37" s="32"/>
      <c r="K37" s="32"/>
      <c r="L37" s="32"/>
      <c r="M37" s="32"/>
      <c r="N37" s="32"/>
      <c r="O37" s="32"/>
      <c r="P37" s="32"/>
    </row>
    <row r="38" spans="1:16" x14ac:dyDescent="0.35">
      <c r="A38" s="32"/>
      <c r="B38" s="32"/>
      <c r="C38" s="32"/>
      <c r="D38" s="32"/>
      <c r="E38" s="32"/>
      <c r="F38" s="32"/>
      <c r="G38" s="32"/>
      <c r="H38" s="32"/>
      <c r="I38" s="32"/>
      <c r="J38" s="32"/>
      <c r="K38" s="32"/>
      <c r="L38" s="32"/>
      <c r="M38" s="32"/>
      <c r="N38" s="32"/>
      <c r="O38" s="32"/>
      <c r="P38" s="32"/>
    </row>
    <row r="39" spans="1:16" x14ac:dyDescent="0.35">
      <c r="A39" s="32"/>
      <c r="B39" s="32"/>
      <c r="C39" s="32"/>
      <c r="D39" s="32"/>
      <c r="E39" s="32"/>
      <c r="F39" s="32"/>
      <c r="G39" s="32"/>
      <c r="H39" s="32"/>
      <c r="I39" s="32"/>
      <c r="J39" s="32"/>
      <c r="K39" s="32"/>
      <c r="L39" s="32"/>
      <c r="M39" s="32"/>
      <c r="N39" s="32"/>
      <c r="O39" s="32"/>
      <c r="P39" s="32"/>
    </row>
    <row r="40" spans="1:16" x14ac:dyDescent="0.35">
      <c r="A40" s="32"/>
      <c r="B40" s="32"/>
      <c r="C40" s="32"/>
      <c r="D40" s="32"/>
      <c r="E40" s="32"/>
      <c r="F40" s="32"/>
      <c r="G40" s="32"/>
      <c r="H40" s="32"/>
      <c r="I40" s="32"/>
      <c r="J40" s="32"/>
      <c r="K40" s="32"/>
      <c r="L40" s="32"/>
      <c r="M40" s="32"/>
      <c r="N40" s="32"/>
      <c r="O40" s="32"/>
      <c r="P40" s="32"/>
    </row>
    <row r="41" spans="1:16" x14ac:dyDescent="0.35">
      <c r="A41" s="32"/>
      <c r="B41" s="32"/>
      <c r="C41" s="32"/>
      <c r="D41" s="32"/>
      <c r="E41" s="32"/>
      <c r="F41" s="32"/>
      <c r="G41" s="32"/>
      <c r="H41" s="32"/>
      <c r="I41" s="32"/>
      <c r="J41" s="32"/>
      <c r="K41" s="32"/>
      <c r="L41" s="32"/>
      <c r="M41" s="32"/>
      <c r="N41" s="32"/>
      <c r="O41" s="32"/>
      <c r="P41" s="32"/>
    </row>
    <row r="42" spans="1:16" x14ac:dyDescent="0.35">
      <c r="A42" s="32"/>
      <c r="B42" s="32"/>
      <c r="C42" s="32"/>
      <c r="D42" s="32"/>
      <c r="E42" s="32"/>
      <c r="F42" s="32"/>
      <c r="G42" s="32"/>
      <c r="H42" s="32"/>
      <c r="I42" s="32"/>
      <c r="J42" s="32"/>
      <c r="K42" s="32"/>
      <c r="L42" s="32"/>
      <c r="M42" s="32"/>
      <c r="N42" s="32"/>
      <c r="O42" s="32"/>
      <c r="P42" s="32"/>
    </row>
  </sheetData>
  <mergeCells count="4">
    <mergeCell ref="A1:P1"/>
    <mergeCell ref="C3:D3"/>
    <mergeCell ref="L3:N3"/>
    <mergeCell ref="E3:J3"/>
  </mergeCells>
  <phoneticPr fontId="20" type="noConversion"/>
  <printOptions horizontalCentered="1"/>
  <pageMargins left="0.25" right="0.25" top="0.75" bottom="0.75" header="0.3" footer="0.3"/>
  <pageSetup paperSize="17" scale="82" orientation="landscape" r:id="rId1"/>
  <headerFooter alignWithMargins="0"/>
  <ignoredErrors>
    <ignoredError sqref="L22 L2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3"/>
  <sheetViews>
    <sheetView view="pageBreakPreview" zoomScale="80" zoomScaleNormal="75" zoomScaleSheetLayoutView="80" workbookViewId="0">
      <pane xSplit="1" ySplit="5" topLeftCell="B6" activePane="bottomRight" state="frozen"/>
      <selection activeCell="G7" sqref="G7:G12"/>
      <selection pane="topRight" activeCell="G7" sqref="G7:G12"/>
      <selection pane="bottomLeft" activeCell="G7" sqref="G7:G12"/>
      <selection pane="bottomRight" activeCell="E83" sqref="E83"/>
    </sheetView>
  </sheetViews>
  <sheetFormatPr defaultColWidth="9.140625" defaultRowHeight="18" x14ac:dyDescent="0.35"/>
  <cols>
    <col min="1" max="1" width="60.5703125" style="34" bestFit="1" customWidth="1"/>
    <col min="2" max="2" width="22.140625" style="34" bestFit="1" customWidth="1"/>
    <col min="3" max="3" width="15.7109375" style="34" bestFit="1" customWidth="1"/>
    <col min="4" max="4" width="17.85546875" style="34" bestFit="1" customWidth="1"/>
    <col min="5" max="6" width="18.140625" style="34" bestFit="1" customWidth="1"/>
    <col min="7" max="7" width="16.7109375" style="34" bestFit="1" customWidth="1"/>
    <col min="8" max="8" width="16.42578125" style="34" hidden="1" customWidth="1"/>
    <col min="9" max="9" width="17" style="34" customWidth="1"/>
    <col min="10" max="10" width="18.42578125" style="34" bestFit="1" customWidth="1"/>
    <col min="11" max="11" width="21.85546875" style="2" bestFit="1" customWidth="1"/>
    <col min="12" max="12" width="18.42578125" style="2" bestFit="1" customWidth="1"/>
    <col min="13" max="13" width="22.140625" style="2" bestFit="1" customWidth="1"/>
    <col min="14" max="14" width="18.42578125" style="2" bestFit="1" customWidth="1"/>
    <col min="15" max="15" width="16.7109375" style="2" bestFit="1" customWidth="1"/>
    <col min="16" max="16" width="22.7109375" style="34" bestFit="1" customWidth="1"/>
    <col min="17" max="19" width="9.140625" style="2"/>
    <col min="20" max="20" width="36.42578125" style="2" bestFit="1" customWidth="1"/>
    <col min="21" max="16384" width="9.140625" style="2"/>
  </cols>
  <sheetData>
    <row r="1" spans="1:16" s="34" customFormat="1" ht="22.5" x14ac:dyDescent="0.4">
      <c r="A1" s="272" t="str">
        <f>'2023-24 Form Distr'!A1:P1</f>
        <v>2023-24 Governor's Budget Recommendation</v>
      </c>
      <c r="B1" s="272"/>
      <c r="C1" s="272"/>
      <c r="D1" s="272"/>
      <c r="E1" s="272"/>
      <c r="F1" s="272"/>
      <c r="G1" s="272"/>
      <c r="H1" s="272"/>
      <c r="I1" s="272"/>
      <c r="J1" s="272"/>
      <c r="K1" s="272"/>
      <c r="L1" s="272"/>
      <c r="M1" s="272"/>
      <c r="N1" s="272"/>
      <c r="O1" s="272"/>
    </row>
    <row r="2" spans="1:16" s="34" customFormat="1" ht="18.75" thickBot="1" x14ac:dyDescent="0.4">
      <c r="G2" s="52"/>
      <c r="K2" s="53"/>
      <c r="L2" s="53"/>
      <c r="M2" s="53"/>
      <c r="N2" s="53"/>
      <c r="O2" s="53"/>
    </row>
    <row r="3" spans="1:16" s="34" customFormat="1" x14ac:dyDescent="0.35">
      <c r="A3" s="36"/>
      <c r="B3" s="138" t="str">
        <f>'2023-24 Form Distr'!B3</f>
        <v>2022-23</v>
      </c>
      <c r="C3" s="273" t="s">
        <v>109</v>
      </c>
      <c r="D3" s="274"/>
      <c r="E3" s="278" t="s">
        <v>110</v>
      </c>
      <c r="F3" s="279"/>
      <c r="G3" s="279"/>
      <c r="H3" s="279"/>
      <c r="I3" s="280"/>
      <c r="J3" s="159" t="s">
        <v>109</v>
      </c>
      <c r="K3" s="275" t="s">
        <v>109</v>
      </c>
      <c r="L3" s="276"/>
      <c r="M3" s="277"/>
      <c r="N3" s="160" t="s">
        <v>48</v>
      </c>
      <c r="O3" s="161"/>
    </row>
    <row r="4" spans="1:16" s="34" customFormat="1" x14ac:dyDescent="0.35">
      <c r="A4" s="37"/>
      <c r="B4" s="139" t="s">
        <v>15</v>
      </c>
      <c r="C4" s="162" t="s">
        <v>77</v>
      </c>
      <c r="D4" s="163" t="s">
        <v>63</v>
      </c>
      <c r="E4" s="164" t="s">
        <v>57</v>
      </c>
      <c r="F4" s="165" t="s">
        <v>45</v>
      </c>
      <c r="G4" s="165" t="s">
        <v>43</v>
      </c>
      <c r="H4" s="166" t="s">
        <v>72</v>
      </c>
      <c r="I4" s="163" t="s">
        <v>60</v>
      </c>
      <c r="J4" s="167" t="s">
        <v>14</v>
      </c>
      <c r="K4" s="168" t="s">
        <v>15</v>
      </c>
      <c r="L4" s="169" t="s">
        <v>14</v>
      </c>
      <c r="M4" s="169" t="s">
        <v>73</v>
      </c>
      <c r="N4" s="169" t="s">
        <v>15</v>
      </c>
      <c r="O4" s="170" t="s">
        <v>15</v>
      </c>
    </row>
    <row r="5" spans="1:16" s="34" customFormat="1" x14ac:dyDescent="0.35">
      <c r="A5" s="38" t="s">
        <v>17</v>
      </c>
      <c r="B5" s="140" t="s">
        <v>47</v>
      </c>
      <c r="C5" s="171" t="s">
        <v>76</v>
      </c>
      <c r="D5" s="172" t="s">
        <v>44</v>
      </c>
      <c r="E5" s="173" t="s">
        <v>58</v>
      </c>
      <c r="F5" s="174" t="s">
        <v>46</v>
      </c>
      <c r="G5" s="174" t="s">
        <v>46</v>
      </c>
      <c r="H5" s="175" t="s">
        <v>67</v>
      </c>
      <c r="I5" s="172" t="s">
        <v>15</v>
      </c>
      <c r="J5" s="176" t="s">
        <v>70</v>
      </c>
      <c r="K5" s="171" t="s">
        <v>47</v>
      </c>
      <c r="L5" s="175" t="s">
        <v>47</v>
      </c>
      <c r="M5" s="175" t="s">
        <v>47</v>
      </c>
      <c r="N5" s="175" t="s">
        <v>47</v>
      </c>
      <c r="O5" s="177" t="s">
        <v>16</v>
      </c>
    </row>
    <row r="6" spans="1:16" x14ac:dyDescent="0.35">
      <c r="A6" s="39" t="s">
        <v>18</v>
      </c>
      <c r="B6" s="141"/>
      <c r="C6" s="178"/>
      <c r="D6" s="192"/>
      <c r="E6" s="219"/>
      <c r="F6" s="232"/>
      <c r="G6" s="232"/>
      <c r="H6" s="83"/>
      <c r="I6" s="192"/>
      <c r="J6" s="233"/>
      <c r="K6" s="5"/>
      <c r="L6" s="5"/>
      <c r="M6" s="5"/>
      <c r="N6" s="5"/>
      <c r="O6" s="6"/>
    </row>
    <row r="7" spans="1:16" s="34" customFormat="1" x14ac:dyDescent="0.35">
      <c r="A7" s="37" t="s">
        <v>19</v>
      </c>
      <c r="B7" s="141">
        <v>43928600</v>
      </c>
      <c r="C7" s="178">
        <v>0</v>
      </c>
      <c r="D7" s="84">
        <f>SUM(B7:C7)</f>
        <v>43928600</v>
      </c>
      <c r="E7" s="178">
        <v>413600</v>
      </c>
      <c r="F7" s="83">
        <v>3175500</v>
      </c>
      <c r="G7" s="83">
        <v>110300</v>
      </c>
      <c r="H7" s="83">
        <v>0</v>
      </c>
      <c r="I7" s="84">
        <v>0</v>
      </c>
      <c r="J7" s="84">
        <v>0</v>
      </c>
      <c r="K7" s="83">
        <f>SUM(D7,E7:I7)</f>
        <v>47628000</v>
      </c>
      <c r="L7" s="83">
        <f>SUM(J7:J7)</f>
        <v>0</v>
      </c>
      <c r="M7" s="83">
        <f>K7+L7</f>
        <v>47628000</v>
      </c>
      <c r="N7" s="83">
        <f>K7-B7</f>
        <v>3699400</v>
      </c>
      <c r="O7" s="183">
        <f>(K7-B7)/B7</f>
        <v>8.4213928966550264E-2</v>
      </c>
      <c r="P7" s="208"/>
    </row>
    <row r="8" spans="1:16" s="34" customFormat="1" x14ac:dyDescent="0.35">
      <c r="A8" s="37" t="s">
        <v>20</v>
      </c>
      <c r="B8" s="142">
        <v>9275600</v>
      </c>
      <c r="C8" s="180">
        <v>0</v>
      </c>
      <c r="D8" s="181">
        <f t="shared" ref="D8" si="0">SUM(B8:C8)</f>
        <v>9275600</v>
      </c>
      <c r="E8" s="180">
        <v>15200</v>
      </c>
      <c r="F8" s="182">
        <v>799500</v>
      </c>
      <c r="G8" s="182">
        <v>40000</v>
      </c>
      <c r="H8" s="182">
        <v>0</v>
      </c>
      <c r="I8" s="181">
        <v>0</v>
      </c>
      <c r="J8" s="181">
        <v>0</v>
      </c>
      <c r="K8" s="182">
        <f>SUM(D8,E8:I8)</f>
        <v>10130300</v>
      </c>
      <c r="L8" s="182">
        <f t="shared" ref="L8:L10" si="1">SUM(J8:J8)</f>
        <v>0</v>
      </c>
      <c r="M8" s="182">
        <f t="shared" ref="M8" si="2">K8+L8</f>
        <v>10130300</v>
      </c>
      <c r="N8" s="182">
        <f>K8-B8</f>
        <v>854700</v>
      </c>
      <c r="O8" s="183">
        <f>(K8-B8)/B8</f>
        <v>9.2144982534822548E-2</v>
      </c>
    </row>
    <row r="9" spans="1:16" s="34" customFormat="1" x14ac:dyDescent="0.35">
      <c r="A9" s="40" t="s">
        <v>51</v>
      </c>
      <c r="B9" s="142">
        <v>29130000</v>
      </c>
      <c r="C9" s="180">
        <v>0</v>
      </c>
      <c r="D9" s="181">
        <f>SUM(B9:C9)</f>
        <v>29130000</v>
      </c>
      <c r="E9" s="180">
        <v>562600</v>
      </c>
      <c r="F9" s="182">
        <v>2273500</v>
      </c>
      <c r="G9" s="182">
        <v>132600</v>
      </c>
      <c r="H9" s="182">
        <v>0</v>
      </c>
      <c r="I9" s="181">
        <v>0</v>
      </c>
      <c r="J9" s="181">
        <v>0</v>
      </c>
      <c r="K9" s="182">
        <f>SUM(D9,E9:I9)</f>
        <v>32098700</v>
      </c>
      <c r="L9" s="182">
        <f>SUM(J9:J9)</f>
        <v>0</v>
      </c>
      <c r="M9" s="182">
        <f>K9+L9</f>
        <v>32098700</v>
      </c>
      <c r="N9" s="182">
        <f>K9-B9</f>
        <v>2968700</v>
      </c>
      <c r="O9" s="183">
        <f>(K9-B9)/B9</f>
        <v>0.1019121180913148</v>
      </c>
    </row>
    <row r="10" spans="1:16" s="34" customFormat="1" x14ac:dyDescent="0.35">
      <c r="A10" s="38" t="s">
        <v>83</v>
      </c>
      <c r="B10" s="142">
        <v>191150900</v>
      </c>
      <c r="C10" s="180">
        <f>59576300-10929900-48646400</f>
        <v>0</v>
      </c>
      <c r="D10" s="181">
        <f>SUM(B10:C10)</f>
        <v>191150900</v>
      </c>
      <c r="E10" s="180">
        <v>1047300</v>
      </c>
      <c r="F10" s="182">
        <v>11114500</v>
      </c>
      <c r="G10" s="182">
        <v>917000</v>
      </c>
      <c r="H10" s="182">
        <v>0</v>
      </c>
      <c r="I10" s="181">
        <v>0</v>
      </c>
      <c r="J10" s="181">
        <v>0</v>
      </c>
      <c r="K10" s="182">
        <f>SUM(D10,E10:I10)</f>
        <v>204229700</v>
      </c>
      <c r="L10" s="182">
        <f t="shared" si="1"/>
        <v>0</v>
      </c>
      <c r="M10" s="182">
        <f>K10+L10</f>
        <v>204229700</v>
      </c>
      <c r="N10" s="182">
        <f>K10-B10</f>
        <v>13078800</v>
      </c>
      <c r="O10" s="183">
        <f>(K10-B10)/B10</f>
        <v>6.8421336232264665E-2</v>
      </c>
    </row>
    <row r="11" spans="1:16" s="34" customFormat="1" x14ac:dyDescent="0.35">
      <c r="A11" s="41" t="s">
        <v>6</v>
      </c>
      <c r="B11" s="143">
        <f t="shared" ref="B11:N11" si="3">SUM(B7:B10)</f>
        <v>273485100</v>
      </c>
      <c r="C11" s="204">
        <f t="shared" si="3"/>
        <v>0</v>
      </c>
      <c r="D11" s="193">
        <f t="shared" si="3"/>
        <v>273485100</v>
      </c>
      <c r="E11" s="204">
        <f t="shared" si="3"/>
        <v>2038700</v>
      </c>
      <c r="F11" s="205">
        <f t="shared" si="3"/>
        <v>17363000</v>
      </c>
      <c r="G11" s="205">
        <f t="shared" si="3"/>
        <v>1199900</v>
      </c>
      <c r="H11" s="205">
        <f t="shared" si="3"/>
        <v>0</v>
      </c>
      <c r="I11" s="193">
        <f t="shared" si="3"/>
        <v>0</v>
      </c>
      <c r="J11" s="193">
        <f t="shared" si="3"/>
        <v>0</v>
      </c>
      <c r="K11" s="205">
        <f t="shared" si="3"/>
        <v>294086700</v>
      </c>
      <c r="L11" s="205">
        <f t="shared" si="3"/>
        <v>0</v>
      </c>
      <c r="M11" s="205">
        <f t="shared" si="3"/>
        <v>294086700</v>
      </c>
      <c r="N11" s="205">
        <f t="shared" si="3"/>
        <v>20601600</v>
      </c>
      <c r="O11" s="206">
        <f>(K11-B11)/B11</f>
        <v>7.5329880860054169E-2</v>
      </c>
      <c r="P11" s="52"/>
    </row>
    <row r="12" spans="1:16" s="34" customFormat="1" x14ac:dyDescent="0.35">
      <c r="A12" s="41"/>
      <c r="B12" s="144"/>
      <c r="C12" s="37"/>
      <c r="D12" s="115"/>
      <c r="E12" s="37"/>
      <c r="F12" s="113"/>
      <c r="G12" s="113"/>
      <c r="H12" s="113"/>
      <c r="I12" s="115"/>
      <c r="J12" s="115"/>
      <c r="K12" s="113"/>
      <c r="L12" s="113"/>
      <c r="M12" s="113"/>
      <c r="N12" s="113"/>
      <c r="O12" s="183"/>
    </row>
    <row r="13" spans="1:16" s="34" customFormat="1" x14ac:dyDescent="0.35">
      <c r="A13" s="39" t="s">
        <v>21</v>
      </c>
      <c r="B13" s="141"/>
      <c r="C13" s="178"/>
      <c r="D13" s="84"/>
      <c r="E13" s="178"/>
      <c r="F13" s="83"/>
      <c r="G13" s="83"/>
      <c r="H13" s="83"/>
      <c r="I13" s="84"/>
      <c r="J13" s="84"/>
      <c r="K13" s="83"/>
      <c r="L13" s="83"/>
      <c r="M13" s="83"/>
      <c r="N13" s="83"/>
      <c r="O13" s="183"/>
    </row>
    <row r="14" spans="1:16" s="34" customFormat="1" x14ac:dyDescent="0.35">
      <c r="A14" s="37" t="s">
        <v>52</v>
      </c>
      <c r="B14" s="141">
        <v>33945100</v>
      </c>
      <c r="C14" s="178">
        <v>0</v>
      </c>
      <c r="D14" s="84">
        <f t="shared" ref="D14:D25" si="4">SUM(B14:C14)</f>
        <v>33945100</v>
      </c>
      <c r="E14" s="178">
        <v>0</v>
      </c>
      <c r="F14" s="83">
        <v>1596500</v>
      </c>
      <c r="G14" s="83">
        <v>134300</v>
      </c>
      <c r="H14" s="83">
        <v>0</v>
      </c>
      <c r="I14" s="84">
        <v>0</v>
      </c>
      <c r="J14" s="84">
        <v>0</v>
      </c>
      <c r="K14" s="83">
        <f t="shared" ref="K14:K20" si="5">SUM(D14,E14:I14)</f>
        <v>35675900</v>
      </c>
      <c r="L14" s="83">
        <f t="shared" ref="L14:L25" si="6">SUM(J14:J14)</f>
        <v>0</v>
      </c>
      <c r="M14" s="83">
        <f t="shared" ref="M14:M25" si="7">K14+L14</f>
        <v>35675900</v>
      </c>
      <c r="N14" s="83">
        <f t="shared" ref="N14:N20" si="8">K14-B14</f>
        <v>1730800</v>
      </c>
      <c r="O14" s="183">
        <f t="shared" ref="O14:O26" si="9">(K14-B14)/B14</f>
        <v>5.0988213320921134E-2</v>
      </c>
    </row>
    <row r="15" spans="1:16" s="34" customFormat="1" x14ac:dyDescent="0.35">
      <c r="A15" s="37" t="s">
        <v>53</v>
      </c>
      <c r="B15" s="142">
        <v>44418800</v>
      </c>
      <c r="C15" s="180">
        <v>0</v>
      </c>
      <c r="D15" s="181">
        <f t="shared" si="4"/>
        <v>44418800</v>
      </c>
      <c r="E15" s="180">
        <v>0</v>
      </c>
      <c r="F15" s="182">
        <v>2407500</v>
      </c>
      <c r="G15" s="182">
        <v>257600</v>
      </c>
      <c r="H15" s="182">
        <v>0</v>
      </c>
      <c r="I15" s="181">
        <v>0</v>
      </c>
      <c r="J15" s="181">
        <v>0</v>
      </c>
      <c r="K15" s="182">
        <f t="shared" si="5"/>
        <v>47083900</v>
      </c>
      <c r="L15" s="182">
        <f t="shared" si="6"/>
        <v>0</v>
      </c>
      <c r="M15" s="182">
        <f t="shared" si="7"/>
        <v>47083900</v>
      </c>
      <c r="N15" s="182">
        <f t="shared" si="8"/>
        <v>2665100</v>
      </c>
      <c r="O15" s="183">
        <f t="shared" si="9"/>
        <v>5.9999369636280137E-2</v>
      </c>
    </row>
    <row r="16" spans="1:16" s="34" customFormat="1" x14ac:dyDescent="0.35">
      <c r="A16" s="37" t="s">
        <v>22</v>
      </c>
      <c r="B16" s="142">
        <v>1506700</v>
      </c>
      <c r="C16" s="180">
        <v>0</v>
      </c>
      <c r="D16" s="181">
        <f t="shared" si="4"/>
        <v>1506700</v>
      </c>
      <c r="E16" s="180">
        <v>0</v>
      </c>
      <c r="F16" s="182">
        <v>40500</v>
      </c>
      <c r="G16" s="182">
        <v>0</v>
      </c>
      <c r="H16" s="182">
        <v>0</v>
      </c>
      <c r="I16" s="181">
        <v>0</v>
      </c>
      <c r="J16" s="181">
        <v>0</v>
      </c>
      <c r="K16" s="182">
        <f t="shared" si="5"/>
        <v>1547200</v>
      </c>
      <c r="L16" s="182">
        <f t="shared" si="6"/>
        <v>0</v>
      </c>
      <c r="M16" s="182">
        <f t="shared" si="7"/>
        <v>1547200</v>
      </c>
      <c r="N16" s="182">
        <f t="shared" si="8"/>
        <v>40500</v>
      </c>
      <c r="O16" s="183">
        <f t="shared" si="9"/>
        <v>2.6879936284595472E-2</v>
      </c>
    </row>
    <row r="17" spans="1:16" s="34" customFormat="1" x14ac:dyDescent="0.35">
      <c r="A17" s="37" t="s">
        <v>54</v>
      </c>
      <c r="B17" s="142">
        <v>4982200</v>
      </c>
      <c r="C17" s="180">
        <v>0</v>
      </c>
      <c r="D17" s="181">
        <f t="shared" si="4"/>
        <v>4982200</v>
      </c>
      <c r="E17" s="180">
        <v>0</v>
      </c>
      <c r="F17" s="182">
        <v>18500</v>
      </c>
      <c r="G17" s="182">
        <v>0</v>
      </c>
      <c r="H17" s="182">
        <v>0</v>
      </c>
      <c r="I17" s="181">
        <v>0</v>
      </c>
      <c r="J17" s="181">
        <v>0</v>
      </c>
      <c r="K17" s="182">
        <f t="shared" si="5"/>
        <v>5000700</v>
      </c>
      <c r="L17" s="182">
        <f t="shared" si="6"/>
        <v>0</v>
      </c>
      <c r="M17" s="182">
        <f t="shared" si="7"/>
        <v>5000700</v>
      </c>
      <c r="N17" s="182">
        <f t="shared" si="8"/>
        <v>18500</v>
      </c>
      <c r="O17" s="183">
        <f t="shared" si="9"/>
        <v>3.7132190598530772E-3</v>
      </c>
    </row>
    <row r="18" spans="1:16" s="34" customFormat="1" x14ac:dyDescent="0.35">
      <c r="A18" s="37" t="s">
        <v>23</v>
      </c>
      <c r="B18" s="142">
        <v>6070200</v>
      </c>
      <c r="C18" s="180">
        <v>0</v>
      </c>
      <c r="D18" s="181">
        <f t="shared" si="4"/>
        <v>6070200</v>
      </c>
      <c r="E18" s="180">
        <v>0</v>
      </c>
      <c r="F18" s="182">
        <v>81000</v>
      </c>
      <c r="G18" s="182">
        <v>0</v>
      </c>
      <c r="H18" s="182">
        <v>0</v>
      </c>
      <c r="I18" s="181">
        <v>0</v>
      </c>
      <c r="J18" s="181">
        <v>0</v>
      </c>
      <c r="K18" s="182">
        <f t="shared" si="5"/>
        <v>6151200</v>
      </c>
      <c r="L18" s="182">
        <f t="shared" si="6"/>
        <v>0</v>
      </c>
      <c r="M18" s="182">
        <f t="shared" si="7"/>
        <v>6151200</v>
      </c>
      <c r="N18" s="182">
        <f t="shared" si="8"/>
        <v>81000</v>
      </c>
      <c r="O18" s="183">
        <f t="shared" si="9"/>
        <v>1.3343876643273698E-2</v>
      </c>
    </row>
    <row r="19" spans="1:16" s="34" customFormat="1" x14ac:dyDescent="0.35">
      <c r="A19" s="37" t="s">
        <v>42</v>
      </c>
      <c r="B19" s="142">
        <v>215400</v>
      </c>
      <c r="C19" s="180">
        <v>0</v>
      </c>
      <c r="D19" s="181">
        <f t="shared" si="4"/>
        <v>215400</v>
      </c>
      <c r="E19" s="180">
        <v>0</v>
      </c>
      <c r="F19" s="182">
        <v>8000</v>
      </c>
      <c r="G19" s="182">
        <v>0</v>
      </c>
      <c r="H19" s="182">
        <v>0</v>
      </c>
      <c r="I19" s="181">
        <v>0</v>
      </c>
      <c r="J19" s="181">
        <v>0</v>
      </c>
      <c r="K19" s="182">
        <f t="shared" si="5"/>
        <v>223400</v>
      </c>
      <c r="L19" s="182">
        <f t="shared" si="6"/>
        <v>0</v>
      </c>
      <c r="M19" s="182">
        <f t="shared" si="7"/>
        <v>223400</v>
      </c>
      <c r="N19" s="182">
        <f t="shared" si="8"/>
        <v>8000</v>
      </c>
      <c r="O19" s="183">
        <f t="shared" si="9"/>
        <v>3.7140204271123488E-2</v>
      </c>
    </row>
    <row r="20" spans="1:16" s="34" customFormat="1" x14ac:dyDescent="0.35">
      <c r="A20" s="37" t="s">
        <v>24</v>
      </c>
      <c r="B20" s="142">
        <v>10101600</v>
      </c>
      <c r="C20" s="180">
        <v>0</v>
      </c>
      <c r="D20" s="181">
        <f t="shared" si="4"/>
        <v>10101600</v>
      </c>
      <c r="E20" s="180">
        <v>0</v>
      </c>
      <c r="F20" s="182">
        <v>483000</v>
      </c>
      <c r="G20" s="182">
        <v>24000</v>
      </c>
      <c r="H20" s="182">
        <v>0</v>
      </c>
      <c r="I20" s="181">
        <v>0</v>
      </c>
      <c r="J20" s="181">
        <v>0</v>
      </c>
      <c r="K20" s="182">
        <f t="shared" si="5"/>
        <v>10608600</v>
      </c>
      <c r="L20" s="182">
        <f t="shared" si="6"/>
        <v>0</v>
      </c>
      <c r="M20" s="182">
        <f t="shared" si="7"/>
        <v>10608600</v>
      </c>
      <c r="N20" s="182">
        <f t="shared" si="8"/>
        <v>507000</v>
      </c>
      <c r="O20" s="183">
        <f t="shared" si="9"/>
        <v>5.0190068899976244E-2</v>
      </c>
    </row>
    <row r="21" spans="1:16" s="34" customFormat="1" x14ac:dyDescent="0.35">
      <c r="A21" s="37" t="s">
        <v>25</v>
      </c>
      <c r="B21" s="142">
        <f>SUM(B22:B23)</f>
        <v>7429900</v>
      </c>
      <c r="C21" s="180">
        <f>SUM(C22:C23)</f>
        <v>0</v>
      </c>
      <c r="D21" s="181">
        <f t="shared" ref="D21:J21" si="10">SUM(D22:D23)</f>
        <v>7429900</v>
      </c>
      <c r="E21" s="180">
        <f t="shared" si="10"/>
        <v>0</v>
      </c>
      <c r="F21" s="182">
        <f t="shared" si="10"/>
        <v>357500</v>
      </c>
      <c r="G21" s="182">
        <f t="shared" si="10"/>
        <v>31400</v>
      </c>
      <c r="H21" s="182">
        <f t="shared" si="10"/>
        <v>0</v>
      </c>
      <c r="I21" s="181">
        <f t="shared" si="10"/>
        <v>0</v>
      </c>
      <c r="J21" s="181">
        <f t="shared" si="10"/>
        <v>0</v>
      </c>
      <c r="K21" s="182">
        <f t="shared" ref="K21" si="11">SUM(K22:K23)</f>
        <v>7818800</v>
      </c>
      <c r="L21" s="182">
        <f t="shared" ref="L21" si="12">SUM(L22:L23)</f>
        <v>0</v>
      </c>
      <c r="M21" s="182">
        <f t="shared" ref="M21" si="13">SUM(M22:M23)</f>
        <v>7818800</v>
      </c>
      <c r="N21" s="182">
        <f t="shared" ref="N21" si="14">SUM(N22:N23)</f>
        <v>388900</v>
      </c>
      <c r="O21" s="183">
        <f t="shared" si="9"/>
        <v>5.2342561811060714E-2</v>
      </c>
    </row>
    <row r="22" spans="1:16" s="34" customFormat="1" x14ac:dyDescent="0.35">
      <c r="A22" s="42" t="s">
        <v>97</v>
      </c>
      <c r="B22" s="145">
        <v>878100</v>
      </c>
      <c r="C22" s="234">
        <v>0</v>
      </c>
      <c r="D22" s="179">
        <f t="shared" ref="D22" si="15">SUM(B22:C22)</f>
        <v>878100</v>
      </c>
      <c r="E22" s="234">
        <v>0</v>
      </c>
      <c r="F22" s="188">
        <v>95500</v>
      </c>
      <c r="G22" s="188">
        <v>6500</v>
      </c>
      <c r="H22" s="188">
        <v>0</v>
      </c>
      <c r="I22" s="179">
        <v>0</v>
      </c>
      <c r="J22" s="179">
        <v>0</v>
      </c>
      <c r="K22" s="188">
        <f>SUM(D22,E22:I22)</f>
        <v>980100</v>
      </c>
      <c r="L22" s="188">
        <f t="shared" ref="L22" si="16">SUM(J22:J22)</f>
        <v>0</v>
      </c>
      <c r="M22" s="188">
        <f t="shared" ref="M22" si="17">K22+L22</f>
        <v>980100</v>
      </c>
      <c r="N22" s="188">
        <f>K22-B22</f>
        <v>102000</v>
      </c>
      <c r="O22" s="189">
        <f t="shared" si="9"/>
        <v>0.11615989067304407</v>
      </c>
    </row>
    <row r="23" spans="1:16" s="34" customFormat="1" x14ac:dyDescent="0.35">
      <c r="A23" s="43" t="s">
        <v>98</v>
      </c>
      <c r="B23" s="146">
        <v>6551800</v>
      </c>
      <c r="C23" s="190">
        <v>0</v>
      </c>
      <c r="D23" s="191">
        <f>SUM(B23:C23)</f>
        <v>6551800</v>
      </c>
      <c r="E23" s="190">
        <v>0</v>
      </c>
      <c r="F23" s="201">
        <v>262000</v>
      </c>
      <c r="G23" s="201">
        <v>24900</v>
      </c>
      <c r="H23" s="201">
        <v>0</v>
      </c>
      <c r="I23" s="191">
        <v>0</v>
      </c>
      <c r="J23" s="191">
        <v>0</v>
      </c>
      <c r="K23" s="201">
        <f>SUM(D23,E23:I23)</f>
        <v>6838700</v>
      </c>
      <c r="L23" s="201">
        <f t="shared" ref="L23" si="18">SUM(J23:J23)</f>
        <v>0</v>
      </c>
      <c r="M23" s="201">
        <f>K23+L23</f>
        <v>6838700</v>
      </c>
      <c r="N23" s="201">
        <f>K23-B23</f>
        <v>286900</v>
      </c>
      <c r="O23" s="202">
        <f t="shared" si="9"/>
        <v>4.3789492963765685E-2</v>
      </c>
    </row>
    <row r="24" spans="1:16" s="34" customFormat="1" x14ac:dyDescent="0.35">
      <c r="A24" s="37" t="s">
        <v>50</v>
      </c>
      <c r="B24" s="142">
        <v>3625300</v>
      </c>
      <c r="C24" s="180">
        <v>0</v>
      </c>
      <c r="D24" s="181">
        <f t="shared" si="4"/>
        <v>3625300</v>
      </c>
      <c r="E24" s="180">
        <v>0</v>
      </c>
      <c r="F24" s="182">
        <v>244500</v>
      </c>
      <c r="G24" s="182">
        <v>13300</v>
      </c>
      <c r="H24" s="182">
        <v>0</v>
      </c>
      <c r="I24" s="181">
        <v>0</v>
      </c>
      <c r="J24" s="181">
        <v>0</v>
      </c>
      <c r="K24" s="182">
        <f>SUM(D24,E24:I24)</f>
        <v>3883100</v>
      </c>
      <c r="L24" s="182">
        <f t="shared" si="6"/>
        <v>0</v>
      </c>
      <c r="M24" s="182">
        <f t="shared" si="7"/>
        <v>3883100</v>
      </c>
      <c r="N24" s="182">
        <f>K24-B24</f>
        <v>257800</v>
      </c>
      <c r="O24" s="183">
        <f t="shared" si="9"/>
        <v>7.1111356301547454E-2</v>
      </c>
    </row>
    <row r="25" spans="1:16" s="34" customFormat="1" x14ac:dyDescent="0.35">
      <c r="A25" s="44" t="s">
        <v>49</v>
      </c>
      <c r="B25" s="147">
        <v>4241500</v>
      </c>
      <c r="C25" s="203">
        <v>0</v>
      </c>
      <c r="D25" s="186">
        <f t="shared" si="4"/>
        <v>4241500</v>
      </c>
      <c r="E25" s="203">
        <v>0</v>
      </c>
      <c r="F25" s="185">
        <v>308000</v>
      </c>
      <c r="G25" s="185">
        <v>17400</v>
      </c>
      <c r="H25" s="185">
        <v>0</v>
      </c>
      <c r="I25" s="186">
        <v>0</v>
      </c>
      <c r="J25" s="186">
        <v>0</v>
      </c>
      <c r="K25" s="185">
        <f>SUM(D25,E25:I25)</f>
        <v>4566900</v>
      </c>
      <c r="L25" s="185">
        <f t="shared" si="6"/>
        <v>0</v>
      </c>
      <c r="M25" s="185">
        <f t="shared" si="7"/>
        <v>4566900</v>
      </c>
      <c r="N25" s="185">
        <f>K25-B25</f>
        <v>325400</v>
      </c>
      <c r="O25" s="172">
        <f t="shared" si="9"/>
        <v>7.6718142166686321E-2</v>
      </c>
    </row>
    <row r="26" spans="1:16" s="34" customFormat="1" x14ac:dyDescent="0.35">
      <c r="A26" s="41" t="s">
        <v>6</v>
      </c>
      <c r="B26" s="148">
        <f>SUM(B14:B25)-B21</f>
        <v>116536700</v>
      </c>
      <c r="C26" s="91">
        <f t="shared" ref="C26:N26" si="19">SUM(C14:C25)-C21</f>
        <v>0</v>
      </c>
      <c r="D26" s="90">
        <f t="shared" si="19"/>
        <v>116536700</v>
      </c>
      <c r="E26" s="91">
        <f t="shared" si="19"/>
        <v>0</v>
      </c>
      <c r="F26" s="89">
        <f t="shared" si="19"/>
        <v>5545000</v>
      </c>
      <c r="G26" s="89">
        <f t="shared" si="19"/>
        <v>478000</v>
      </c>
      <c r="H26" s="89">
        <f t="shared" si="19"/>
        <v>0</v>
      </c>
      <c r="I26" s="90">
        <f>SUM(I14:I25)-I21</f>
        <v>0</v>
      </c>
      <c r="J26" s="90">
        <f t="shared" si="19"/>
        <v>0</v>
      </c>
      <c r="K26" s="89">
        <f t="shared" si="19"/>
        <v>122559700</v>
      </c>
      <c r="L26" s="89">
        <f t="shared" si="19"/>
        <v>0</v>
      </c>
      <c r="M26" s="89">
        <f t="shared" si="19"/>
        <v>122559700</v>
      </c>
      <c r="N26" s="89">
        <f t="shared" si="19"/>
        <v>6023000</v>
      </c>
      <c r="O26" s="200">
        <f t="shared" si="9"/>
        <v>5.1683289470184073E-2</v>
      </c>
      <c r="P26" s="52"/>
    </row>
    <row r="27" spans="1:16" x14ac:dyDescent="0.35">
      <c r="A27" s="41"/>
      <c r="B27" s="149"/>
      <c r="C27" s="220"/>
      <c r="D27" s="86"/>
      <c r="E27" s="220"/>
      <c r="F27" s="85"/>
      <c r="G27" s="85"/>
      <c r="H27" s="85"/>
      <c r="I27" s="86"/>
      <c r="J27" s="86"/>
      <c r="K27" s="1"/>
      <c r="L27" s="1"/>
      <c r="M27" s="1"/>
      <c r="N27" s="1"/>
      <c r="O27" s="7"/>
    </row>
    <row r="28" spans="1:16" x14ac:dyDescent="0.35">
      <c r="A28" s="39" t="s">
        <v>26</v>
      </c>
      <c r="B28" s="149"/>
      <c r="C28" s="220"/>
      <c r="D28" s="86"/>
      <c r="E28" s="220"/>
      <c r="F28" s="85"/>
      <c r="G28" s="85"/>
      <c r="H28" s="85"/>
      <c r="I28" s="86"/>
      <c r="J28" s="86"/>
      <c r="K28" s="1"/>
      <c r="L28" s="1"/>
      <c r="M28" s="1"/>
      <c r="N28" s="1"/>
      <c r="O28" s="7"/>
    </row>
    <row r="29" spans="1:16" s="34" customFormat="1" x14ac:dyDescent="0.35">
      <c r="A29" s="37" t="s">
        <v>105</v>
      </c>
      <c r="B29" s="141">
        <v>5656700</v>
      </c>
      <c r="C29" s="178">
        <v>0</v>
      </c>
      <c r="D29" s="84">
        <f t="shared" ref="D29:D31" si="20">SUM(B29:C29)</f>
        <v>5656700</v>
      </c>
      <c r="E29" s="178">
        <v>43600</v>
      </c>
      <c r="F29" s="83">
        <v>248500</v>
      </c>
      <c r="G29" s="83">
        <v>32300</v>
      </c>
      <c r="H29" s="83"/>
      <c r="I29" s="84">
        <v>0</v>
      </c>
      <c r="J29" s="84">
        <v>0</v>
      </c>
      <c r="K29" s="83">
        <f>SUM(D29,E29:I29)</f>
        <v>5981100</v>
      </c>
      <c r="L29" s="83">
        <f t="shared" ref="L29" si="21">SUM(J29:J29)</f>
        <v>0</v>
      </c>
      <c r="M29" s="83">
        <f>K29+L29</f>
        <v>5981100</v>
      </c>
      <c r="N29" s="83">
        <f>K29-B29</f>
        <v>324400</v>
      </c>
      <c r="O29" s="183">
        <f t="shared" ref="O29:O35" si="22">(K29-B29)/B29</f>
        <v>5.7347923701097814E-2</v>
      </c>
    </row>
    <row r="30" spans="1:16" s="34" customFormat="1" x14ac:dyDescent="0.35">
      <c r="A30" s="37" t="s">
        <v>27</v>
      </c>
      <c r="B30" s="142">
        <v>5829000</v>
      </c>
      <c r="C30" s="180">
        <v>-300</v>
      </c>
      <c r="D30" s="181">
        <f t="shared" si="20"/>
        <v>5828700</v>
      </c>
      <c r="E30" s="180">
        <v>0</v>
      </c>
      <c r="F30" s="182">
        <v>169500</v>
      </c>
      <c r="G30" s="182">
        <v>95800</v>
      </c>
      <c r="H30" s="182">
        <v>0</v>
      </c>
      <c r="I30" s="181">
        <v>0</v>
      </c>
      <c r="J30" s="181">
        <v>0</v>
      </c>
      <c r="K30" s="182">
        <f>SUM(D30,E30:I30)</f>
        <v>6094000</v>
      </c>
      <c r="L30" s="182">
        <f t="shared" ref="L30:L31" si="23">SUM(J30:J30)</f>
        <v>0</v>
      </c>
      <c r="M30" s="182">
        <f>K30+L30</f>
        <v>6094000</v>
      </c>
      <c r="N30" s="182">
        <f>K30-B30</f>
        <v>265000</v>
      </c>
      <c r="O30" s="183">
        <f t="shared" si="22"/>
        <v>4.5462343455138103E-2</v>
      </c>
    </row>
    <row r="31" spans="1:16" s="34" customFormat="1" x14ac:dyDescent="0.35">
      <c r="A31" s="37" t="s">
        <v>28</v>
      </c>
      <c r="B31" s="142">
        <v>29534300</v>
      </c>
      <c r="C31" s="180">
        <v>0</v>
      </c>
      <c r="D31" s="181">
        <f t="shared" si="20"/>
        <v>29534300</v>
      </c>
      <c r="E31" s="180">
        <v>0</v>
      </c>
      <c r="F31" s="182">
        <v>1210500</v>
      </c>
      <c r="G31" s="182">
        <v>73500</v>
      </c>
      <c r="H31" s="182">
        <v>0</v>
      </c>
      <c r="I31" s="181">
        <f>350000</f>
        <v>350000</v>
      </c>
      <c r="J31" s="181">
        <f>790000</f>
        <v>790000</v>
      </c>
      <c r="K31" s="182">
        <f>SUM(D31,E31:I31)</f>
        <v>31168300</v>
      </c>
      <c r="L31" s="182">
        <f t="shared" si="23"/>
        <v>790000</v>
      </c>
      <c r="M31" s="182">
        <f>K31+L31</f>
        <v>31958300</v>
      </c>
      <c r="N31" s="182">
        <f>K31-B31</f>
        <v>1634000</v>
      </c>
      <c r="O31" s="183">
        <f t="shared" si="22"/>
        <v>5.5325502889860267E-2</v>
      </c>
    </row>
    <row r="32" spans="1:16" s="34" customFormat="1" x14ac:dyDescent="0.35">
      <c r="A32" s="37" t="s">
        <v>29</v>
      </c>
      <c r="B32" s="142">
        <f t="shared" ref="B32:N32" si="24">SUM(B33:B35)</f>
        <v>116688000</v>
      </c>
      <c r="C32" s="184">
        <f t="shared" si="24"/>
        <v>-616000</v>
      </c>
      <c r="D32" s="181">
        <f t="shared" si="24"/>
        <v>116072000</v>
      </c>
      <c r="E32" s="184">
        <f t="shared" si="24"/>
        <v>0</v>
      </c>
      <c r="F32" s="185">
        <f t="shared" si="24"/>
        <v>0</v>
      </c>
      <c r="G32" s="185">
        <f t="shared" si="24"/>
        <v>0</v>
      </c>
      <c r="H32" s="185">
        <f t="shared" si="24"/>
        <v>0</v>
      </c>
      <c r="I32" s="186">
        <f t="shared" si="24"/>
        <v>0</v>
      </c>
      <c r="J32" s="186">
        <f t="shared" si="24"/>
        <v>0</v>
      </c>
      <c r="K32" s="182">
        <f t="shared" si="24"/>
        <v>116072000</v>
      </c>
      <c r="L32" s="182">
        <f t="shared" si="24"/>
        <v>0</v>
      </c>
      <c r="M32" s="182">
        <f t="shared" si="24"/>
        <v>116072000</v>
      </c>
      <c r="N32" s="182">
        <f t="shared" si="24"/>
        <v>-616000</v>
      </c>
      <c r="O32" s="183">
        <f t="shared" si="22"/>
        <v>-5.279034690799397E-3</v>
      </c>
      <c r="P32" s="187"/>
    </row>
    <row r="33" spans="1:16" s="34" customFormat="1" x14ac:dyDescent="0.35">
      <c r="A33" s="42" t="s">
        <v>66</v>
      </c>
      <c r="B33" s="145">
        <v>113262500</v>
      </c>
      <c r="C33" s="234">
        <v>0</v>
      </c>
      <c r="D33" s="179">
        <f t="shared" ref="D33:D46" si="25">SUM(B33:C33)</f>
        <v>113262500</v>
      </c>
      <c r="E33" s="234">
        <v>0</v>
      </c>
      <c r="F33" s="188">
        <v>0</v>
      </c>
      <c r="G33" s="188">
        <v>0</v>
      </c>
      <c r="H33" s="188">
        <v>0</v>
      </c>
      <c r="I33" s="179">
        <v>0</v>
      </c>
      <c r="J33" s="179">
        <v>0</v>
      </c>
      <c r="K33" s="188">
        <f>SUM(D33,E33:I33)</f>
        <v>113262500</v>
      </c>
      <c r="L33" s="188">
        <f t="shared" ref="L33:L35" si="26">SUM(J33:J33)</f>
        <v>0</v>
      </c>
      <c r="M33" s="188">
        <f t="shared" ref="M33:M40" si="27">K33+L33</f>
        <v>113262500</v>
      </c>
      <c r="N33" s="188">
        <f>K33-B33</f>
        <v>0</v>
      </c>
      <c r="O33" s="189">
        <f t="shared" si="22"/>
        <v>0</v>
      </c>
    </row>
    <row r="34" spans="1:16" x14ac:dyDescent="0.35">
      <c r="A34" s="45" t="s">
        <v>30</v>
      </c>
      <c r="B34" s="150">
        <v>2657800</v>
      </c>
      <c r="C34" s="235">
        <v>0</v>
      </c>
      <c r="D34" s="194">
        <f t="shared" si="25"/>
        <v>2657800</v>
      </c>
      <c r="E34" s="235">
        <v>0</v>
      </c>
      <c r="F34" s="207">
        <v>0</v>
      </c>
      <c r="G34" s="207">
        <v>0</v>
      </c>
      <c r="H34" s="207">
        <v>0</v>
      </c>
      <c r="I34" s="194">
        <v>0</v>
      </c>
      <c r="J34" s="194">
        <v>0</v>
      </c>
      <c r="K34" s="207">
        <f>SUM(D34,E34:I34)</f>
        <v>2657800</v>
      </c>
      <c r="L34" s="207">
        <f t="shared" si="26"/>
        <v>0</v>
      </c>
      <c r="M34" s="207">
        <f t="shared" si="27"/>
        <v>2657800</v>
      </c>
      <c r="N34" s="207">
        <f>K34-B34</f>
        <v>0</v>
      </c>
      <c r="O34" s="209">
        <f t="shared" si="22"/>
        <v>0</v>
      </c>
    </row>
    <row r="35" spans="1:16" x14ac:dyDescent="0.35">
      <c r="A35" s="46" t="s">
        <v>59</v>
      </c>
      <c r="B35" s="146">
        <v>767700</v>
      </c>
      <c r="C35" s="190">
        <f>-616000</f>
        <v>-616000</v>
      </c>
      <c r="D35" s="191">
        <f t="shared" si="25"/>
        <v>151700</v>
      </c>
      <c r="E35" s="190">
        <v>0</v>
      </c>
      <c r="F35" s="201">
        <v>0</v>
      </c>
      <c r="G35" s="201">
        <v>0</v>
      </c>
      <c r="H35" s="201">
        <v>0</v>
      </c>
      <c r="I35" s="191">
        <v>0</v>
      </c>
      <c r="J35" s="191">
        <v>0</v>
      </c>
      <c r="K35" s="201">
        <f>SUM(D35,E35:I35)</f>
        <v>151700</v>
      </c>
      <c r="L35" s="201">
        <f t="shared" si="26"/>
        <v>0</v>
      </c>
      <c r="M35" s="201">
        <f t="shared" si="27"/>
        <v>151700</v>
      </c>
      <c r="N35" s="201">
        <f>K35-B35</f>
        <v>-616000</v>
      </c>
      <c r="O35" s="202">
        <f t="shared" si="22"/>
        <v>-0.80239676957144723</v>
      </c>
    </row>
    <row r="36" spans="1:16" s="34" customFormat="1" x14ac:dyDescent="0.35">
      <c r="A36" s="40" t="s">
        <v>32</v>
      </c>
      <c r="B36" s="142">
        <v>2577000</v>
      </c>
      <c r="C36" s="180">
        <v>0</v>
      </c>
      <c r="D36" s="181">
        <f>SUM(B36:C36)</f>
        <v>2577000</v>
      </c>
      <c r="E36" s="180">
        <v>0</v>
      </c>
      <c r="F36" s="182">
        <v>0</v>
      </c>
      <c r="G36" s="182">
        <v>0</v>
      </c>
      <c r="H36" s="182">
        <v>0</v>
      </c>
      <c r="I36" s="181">
        <v>0</v>
      </c>
      <c r="J36" s="181">
        <v>0</v>
      </c>
      <c r="K36" s="182">
        <f>SUM(D36,E36:I36)</f>
        <v>2577000</v>
      </c>
      <c r="L36" s="182">
        <f t="shared" ref="L36" si="28">SUM(J36:J36)</f>
        <v>0</v>
      </c>
      <c r="M36" s="182">
        <f>K36+L36</f>
        <v>2577000</v>
      </c>
      <c r="N36" s="182">
        <f>K36-B36</f>
        <v>0</v>
      </c>
      <c r="O36" s="183">
        <f t="shared" ref="O36:O44" si="29">(K36-B36)/B36</f>
        <v>0</v>
      </c>
    </row>
    <row r="37" spans="1:16" s="34" customFormat="1" x14ac:dyDescent="0.35">
      <c r="A37" s="38" t="s">
        <v>31</v>
      </c>
      <c r="B37" s="147">
        <f t="shared" ref="B37:N37" si="30">SUM(B38:B50)</f>
        <v>6564300</v>
      </c>
      <c r="C37" s="203">
        <f t="shared" si="30"/>
        <v>0</v>
      </c>
      <c r="D37" s="186">
        <f t="shared" si="30"/>
        <v>6564300</v>
      </c>
      <c r="E37" s="203">
        <f t="shared" si="30"/>
        <v>200000</v>
      </c>
      <c r="F37" s="185">
        <f t="shared" si="30"/>
        <v>0</v>
      </c>
      <c r="G37" s="185">
        <f t="shared" si="30"/>
        <v>0</v>
      </c>
      <c r="H37" s="185">
        <f t="shared" si="30"/>
        <v>0</v>
      </c>
      <c r="I37" s="186">
        <f t="shared" si="30"/>
        <v>0</v>
      </c>
      <c r="J37" s="186">
        <f t="shared" si="30"/>
        <v>0</v>
      </c>
      <c r="K37" s="185">
        <f t="shared" si="30"/>
        <v>6764300</v>
      </c>
      <c r="L37" s="185">
        <f t="shared" si="30"/>
        <v>0</v>
      </c>
      <c r="M37" s="185">
        <f t="shared" si="30"/>
        <v>6764300</v>
      </c>
      <c r="N37" s="185">
        <f t="shared" si="30"/>
        <v>200000</v>
      </c>
      <c r="O37" s="172">
        <f t="shared" si="29"/>
        <v>3.046783358469296E-2</v>
      </c>
    </row>
    <row r="38" spans="1:16" s="4" customFormat="1" x14ac:dyDescent="0.35">
      <c r="A38" s="42" t="s">
        <v>81</v>
      </c>
      <c r="B38" s="145">
        <v>4342000</v>
      </c>
      <c r="C38" s="234">
        <v>0</v>
      </c>
      <c r="D38" s="179">
        <f t="shared" si="25"/>
        <v>4342000</v>
      </c>
      <c r="E38" s="234">
        <v>0</v>
      </c>
      <c r="F38" s="188">
        <v>0</v>
      </c>
      <c r="G38" s="188">
        <v>0</v>
      </c>
      <c r="H38" s="188">
        <v>0</v>
      </c>
      <c r="I38" s="179">
        <v>0</v>
      </c>
      <c r="J38" s="179">
        <v>0</v>
      </c>
      <c r="K38" s="188">
        <f t="shared" ref="K38:K50" si="31">SUM(D38,E38:I38)</f>
        <v>4342000</v>
      </c>
      <c r="L38" s="188">
        <f t="shared" ref="L38:L46" si="32">SUM(J38:J38)</f>
        <v>0</v>
      </c>
      <c r="M38" s="188">
        <f t="shared" si="27"/>
        <v>4342000</v>
      </c>
      <c r="N38" s="188">
        <f t="shared" ref="N38:N50" si="33">K38-B38</f>
        <v>0</v>
      </c>
      <c r="O38" s="209">
        <f t="shared" si="29"/>
        <v>0</v>
      </c>
      <c r="P38" s="53"/>
    </row>
    <row r="39" spans="1:16" s="53" customFormat="1" x14ac:dyDescent="0.35">
      <c r="A39" s="45" t="s">
        <v>114</v>
      </c>
      <c r="B39" s="153">
        <v>0</v>
      </c>
      <c r="C39" s="235">
        <v>0</v>
      </c>
      <c r="D39" s="194">
        <f t="shared" ref="D39" si="34">SUM(B39:C39)</f>
        <v>0</v>
      </c>
      <c r="E39" s="235">
        <v>200000</v>
      </c>
      <c r="F39" s="207">
        <v>0</v>
      </c>
      <c r="G39" s="207">
        <v>0</v>
      </c>
      <c r="H39" s="207">
        <v>0</v>
      </c>
      <c r="I39" s="194">
        <v>0</v>
      </c>
      <c r="J39" s="194">
        <v>0</v>
      </c>
      <c r="K39" s="207">
        <f t="shared" si="31"/>
        <v>200000</v>
      </c>
      <c r="L39" s="207">
        <f t="shared" ref="L39" si="35">SUM(J39:J39)</f>
        <v>0</v>
      </c>
      <c r="M39" s="207">
        <f t="shared" si="27"/>
        <v>200000</v>
      </c>
      <c r="N39" s="207">
        <f t="shared" si="33"/>
        <v>200000</v>
      </c>
      <c r="O39" s="209" t="s">
        <v>69</v>
      </c>
    </row>
    <row r="40" spans="1:16" s="4" customFormat="1" x14ac:dyDescent="0.35">
      <c r="A40" s="45" t="s">
        <v>92</v>
      </c>
      <c r="B40" s="150">
        <v>105000</v>
      </c>
      <c r="C40" s="235">
        <v>0</v>
      </c>
      <c r="D40" s="194">
        <f t="shared" si="25"/>
        <v>105000</v>
      </c>
      <c r="E40" s="235">
        <v>0</v>
      </c>
      <c r="F40" s="207">
        <v>0</v>
      </c>
      <c r="G40" s="207">
        <v>0</v>
      </c>
      <c r="H40" s="207">
        <v>0</v>
      </c>
      <c r="I40" s="194">
        <v>0</v>
      </c>
      <c r="J40" s="194">
        <v>0</v>
      </c>
      <c r="K40" s="207">
        <f t="shared" si="31"/>
        <v>105000</v>
      </c>
      <c r="L40" s="207">
        <f t="shared" si="32"/>
        <v>0</v>
      </c>
      <c r="M40" s="207">
        <f t="shared" si="27"/>
        <v>105000</v>
      </c>
      <c r="N40" s="207">
        <f t="shared" si="33"/>
        <v>0</v>
      </c>
      <c r="O40" s="209">
        <f t="shared" si="29"/>
        <v>0</v>
      </c>
      <c r="P40" s="53"/>
    </row>
    <row r="41" spans="1:16" s="4" customFormat="1" x14ac:dyDescent="0.35">
      <c r="A41" s="45" t="s">
        <v>86</v>
      </c>
      <c r="B41" s="150">
        <v>100000</v>
      </c>
      <c r="C41" s="235">
        <v>0</v>
      </c>
      <c r="D41" s="194">
        <f t="shared" si="25"/>
        <v>100000</v>
      </c>
      <c r="E41" s="235">
        <v>0</v>
      </c>
      <c r="F41" s="207">
        <v>0</v>
      </c>
      <c r="G41" s="207">
        <v>0</v>
      </c>
      <c r="H41" s="207">
        <v>0</v>
      </c>
      <c r="I41" s="194">
        <v>0</v>
      </c>
      <c r="J41" s="194">
        <v>0</v>
      </c>
      <c r="K41" s="207">
        <f t="shared" si="31"/>
        <v>100000</v>
      </c>
      <c r="L41" s="207">
        <f t="shared" ref="L41" si="36">SUM(J41:J41)</f>
        <v>0</v>
      </c>
      <c r="M41" s="207">
        <f t="shared" ref="M41" si="37">K41+L41</f>
        <v>100000</v>
      </c>
      <c r="N41" s="207">
        <f t="shared" si="33"/>
        <v>0</v>
      </c>
      <c r="O41" s="209">
        <f t="shared" si="29"/>
        <v>0</v>
      </c>
      <c r="P41" s="53"/>
    </row>
    <row r="42" spans="1:16" s="4" customFormat="1" x14ac:dyDescent="0.35">
      <c r="A42" s="45" t="s">
        <v>87</v>
      </c>
      <c r="B42" s="150">
        <v>120600</v>
      </c>
      <c r="C42" s="235">
        <v>0</v>
      </c>
      <c r="D42" s="194">
        <f t="shared" si="25"/>
        <v>120600</v>
      </c>
      <c r="E42" s="235">
        <v>0</v>
      </c>
      <c r="F42" s="207">
        <v>0</v>
      </c>
      <c r="G42" s="207">
        <v>0</v>
      </c>
      <c r="H42" s="207">
        <v>0</v>
      </c>
      <c r="I42" s="194">
        <v>0</v>
      </c>
      <c r="J42" s="194">
        <v>0</v>
      </c>
      <c r="K42" s="207">
        <f t="shared" si="31"/>
        <v>120600</v>
      </c>
      <c r="L42" s="207">
        <f t="shared" ref="L42" si="38">SUM(J42:J42)</f>
        <v>0</v>
      </c>
      <c r="M42" s="207">
        <f t="shared" ref="M42" si="39">K42+L42</f>
        <v>120600</v>
      </c>
      <c r="N42" s="207">
        <f t="shared" si="33"/>
        <v>0</v>
      </c>
      <c r="O42" s="209">
        <f t="shared" si="29"/>
        <v>0</v>
      </c>
      <c r="P42" s="53"/>
    </row>
    <row r="43" spans="1:16" s="4" customFormat="1" x14ac:dyDescent="0.35">
      <c r="A43" s="45" t="s">
        <v>88</v>
      </c>
      <c r="B43" s="150">
        <v>83900</v>
      </c>
      <c r="C43" s="235">
        <v>0</v>
      </c>
      <c r="D43" s="194">
        <f t="shared" si="25"/>
        <v>83900</v>
      </c>
      <c r="E43" s="235">
        <v>0</v>
      </c>
      <c r="F43" s="207">
        <v>0</v>
      </c>
      <c r="G43" s="207">
        <v>0</v>
      </c>
      <c r="H43" s="207">
        <v>0</v>
      </c>
      <c r="I43" s="194">
        <v>0</v>
      </c>
      <c r="J43" s="194">
        <v>0</v>
      </c>
      <c r="K43" s="207">
        <f t="shared" si="31"/>
        <v>83900</v>
      </c>
      <c r="L43" s="207">
        <f t="shared" si="32"/>
        <v>0</v>
      </c>
      <c r="M43" s="207">
        <f t="shared" ref="M43:M46" si="40">K43+L43</f>
        <v>83900</v>
      </c>
      <c r="N43" s="207">
        <f t="shared" si="33"/>
        <v>0</v>
      </c>
      <c r="O43" s="209">
        <f t="shared" si="29"/>
        <v>0</v>
      </c>
      <c r="P43" s="53"/>
    </row>
    <row r="44" spans="1:16" s="4" customFormat="1" x14ac:dyDescent="0.35">
      <c r="A44" s="45" t="s">
        <v>82</v>
      </c>
      <c r="B44" s="150">
        <v>416400</v>
      </c>
      <c r="C44" s="235">
        <v>0</v>
      </c>
      <c r="D44" s="194">
        <f t="shared" si="25"/>
        <v>416400</v>
      </c>
      <c r="E44" s="235">
        <v>0</v>
      </c>
      <c r="F44" s="207">
        <v>0</v>
      </c>
      <c r="G44" s="207">
        <v>0</v>
      </c>
      <c r="H44" s="207">
        <v>0</v>
      </c>
      <c r="I44" s="194">
        <v>0</v>
      </c>
      <c r="J44" s="194">
        <v>0</v>
      </c>
      <c r="K44" s="207">
        <f t="shared" si="31"/>
        <v>416400</v>
      </c>
      <c r="L44" s="207">
        <f t="shared" si="32"/>
        <v>0</v>
      </c>
      <c r="M44" s="207">
        <f t="shared" si="40"/>
        <v>416400</v>
      </c>
      <c r="N44" s="207">
        <f t="shared" si="33"/>
        <v>0</v>
      </c>
      <c r="O44" s="209">
        <f t="shared" si="29"/>
        <v>0</v>
      </c>
      <c r="P44" s="53"/>
    </row>
    <row r="45" spans="1:16" x14ac:dyDescent="0.35">
      <c r="A45" s="45" t="s">
        <v>93</v>
      </c>
      <c r="B45" s="150">
        <v>245200</v>
      </c>
      <c r="C45" s="235">
        <v>0</v>
      </c>
      <c r="D45" s="194">
        <f t="shared" si="25"/>
        <v>245200</v>
      </c>
      <c r="E45" s="235">
        <v>0</v>
      </c>
      <c r="F45" s="207">
        <v>0</v>
      </c>
      <c r="G45" s="207">
        <v>0</v>
      </c>
      <c r="H45" s="207">
        <v>0</v>
      </c>
      <c r="I45" s="194">
        <v>0</v>
      </c>
      <c r="J45" s="194">
        <v>0</v>
      </c>
      <c r="K45" s="207">
        <f t="shared" si="31"/>
        <v>245200</v>
      </c>
      <c r="L45" s="207">
        <f t="shared" si="32"/>
        <v>0</v>
      </c>
      <c r="M45" s="207">
        <f t="shared" si="40"/>
        <v>245200</v>
      </c>
      <c r="N45" s="207">
        <f t="shared" si="33"/>
        <v>0</v>
      </c>
      <c r="O45" s="209" t="s">
        <v>69</v>
      </c>
    </row>
    <row r="46" spans="1:16" x14ac:dyDescent="0.35">
      <c r="A46" s="45" t="s">
        <v>79</v>
      </c>
      <c r="B46" s="150">
        <v>200000</v>
      </c>
      <c r="C46" s="235">
        <v>0</v>
      </c>
      <c r="D46" s="194">
        <f t="shared" si="25"/>
        <v>200000</v>
      </c>
      <c r="E46" s="235">
        <v>0</v>
      </c>
      <c r="F46" s="207">
        <v>0</v>
      </c>
      <c r="G46" s="207">
        <v>0</v>
      </c>
      <c r="H46" s="207">
        <v>0</v>
      </c>
      <c r="I46" s="194">
        <v>0</v>
      </c>
      <c r="J46" s="194">
        <v>0</v>
      </c>
      <c r="K46" s="207">
        <f t="shared" si="31"/>
        <v>200000</v>
      </c>
      <c r="L46" s="207">
        <f t="shared" si="32"/>
        <v>0</v>
      </c>
      <c r="M46" s="207">
        <f t="shared" si="40"/>
        <v>200000</v>
      </c>
      <c r="N46" s="207">
        <f t="shared" si="33"/>
        <v>0</v>
      </c>
      <c r="O46" s="209" t="s">
        <v>69</v>
      </c>
    </row>
    <row r="47" spans="1:16" ht="18" customHeight="1" x14ac:dyDescent="0.35">
      <c r="A47" s="45" t="s">
        <v>80</v>
      </c>
      <c r="B47" s="150">
        <v>96300</v>
      </c>
      <c r="C47" s="235">
        <v>0</v>
      </c>
      <c r="D47" s="194">
        <f>SUM(B47:C47)</f>
        <v>96300</v>
      </c>
      <c r="E47" s="235">
        <v>0</v>
      </c>
      <c r="F47" s="207">
        <v>0</v>
      </c>
      <c r="G47" s="207">
        <v>0</v>
      </c>
      <c r="H47" s="207">
        <v>0</v>
      </c>
      <c r="I47" s="194">
        <v>0</v>
      </c>
      <c r="J47" s="194">
        <v>0</v>
      </c>
      <c r="K47" s="207">
        <f t="shared" si="31"/>
        <v>96300</v>
      </c>
      <c r="L47" s="207">
        <f>H47+J47</f>
        <v>0</v>
      </c>
      <c r="M47" s="207">
        <f>K47+L47</f>
        <v>96300</v>
      </c>
      <c r="N47" s="207">
        <f t="shared" si="33"/>
        <v>0</v>
      </c>
      <c r="O47" s="209" t="s">
        <v>69</v>
      </c>
    </row>
    <row r="48" spans="1:16" ht="18" customHeight="1" x14ac:dyDescent="0.35">
      <c r="A48" s="45" t="s">
        <v>96</v>
      </c>
      <c r="B48" s="150">
        <v>84000</v>
      </c>
      <c r="C48" s="235">
        <v>0</v>
      </c>
      <c r="D48" s="194">
        <f>SUM(B48:C48)</f>
        <v>84000</v>
      </c>
      <c r="E48" s="235">
        <v>0</v>
      </c>
      <c r="F48" s="207">
        <v>0</v>
      </c>
      <c r="G48" s="207">
        <v>0</v>
      </c>
      <c r="H48" s="207">
        <v>0</v>
      </c>
      <c r="I48" s="194">
        <v>0</v>
      </c>
      <c r="J48" s="194">
        <v>0</v>
      </c>
      <c r="K48" s="207">
        <f t="shared" si="31"/>
        <v>84000</v>
      </c>
      <c r="L48" s="207">
        <f>H48+J48</f>
        <v>0</v>
      </c>
      <c r="M48" s="207">
        <f>K48+L48</f>
        <v>84000</v>
      </c>
      <c r="N48" s="207">
        <f t="shared" si="33"/>
        <v>0</v>
      </c>
      <c r="O48" s="209" t="s">
        <v>69</v>
      </c>
    </row>
    <row r="49" spans="1:16" s="4" customFormat="1" x14ac:dyDescent="0.35">
      <c r="A49" s="45" t="s">
        <v>99</v>
      </c>
      <c r="B49" s="150">
        <v>426000</v>
      </c>
      <c r="C49" s="235">
        <v>0</v>
      </c>
      <c r="D49" s="194">
        <f>SUM(B49:C49)</f>
        <v>426000</v>
      </c>
      <c r="E49" s="235">
        <v>0</v>
      </c>
      <c r="F49" s="207">
        <v>0</v>
      </c>
      <c r="G49" s="207">
        <v>0</v>
      </c>
      <c r="H49" s="207">
        <v>0</v>
      </c>
      <c r="I49" s="194">
        <v>0</v>
      </c>
      <c r="J49" s="194">
        <v>0</v>
      </c>
      <c r="K49" s="207">
        <f t="shared" si="31"/>
        <v>426000</v>
      </c>
      <c r="L49" s="207">
        <f t="shared" ref="L49" si="41">SUM(J49:J49)</f>
        <v>0</v>
      </c>
      <c r="M49" s="207">
        <f t="shared" ref="M49" si="42">K49+L49</f>
        <v>426000</v>
      </c>
      <c r="N49" s="207">
        <f t="shared" si="33"/>
        <v>0</v>
      </c>
      <c r="O49" s="209" t="s">
        <v>69</v>
      </c>
      <c r="P49" s="53"/>
    </row>
    <row r="50" spans="1:16" s="53" customFormat="1" x14ac:dyDescent="0.35">
      <c r="A50" s="45" t="s">
        <v>107</v>
      </c>
      <c r="B50" s="153">
        <v>344900</v>
      </c>
      <c r="C50" s="235">
        <v>0</v>
      </c>
      <c r="D50" s="194">
        <f>SUM(B50:C50)</f>
        <v>344900</v>
      </c>
      <c r="E50" s="235">
        <v>0</v>
      </c>
      <c r="F50" s="207">
        <v>0</v>
      </c>
      <c r="G50" s="207">
        <v>0</v>
      </c>
      <c r="H50" s="207"/>
      <c r="I50" s="194">
        <v>0</v>
      </c>
      <c r="J50" s="194">
        <v>0</v>
      </c>
      <c r="K50" s="207">
        <f t="shared" si="31"/>
        <v>344900</v>
      </c>
      <c r="L50" s="207">
        <f>SUM(J50:J50)</f>
        <v>0</v>
      </c>
      <c r="M50" s="207">
        <f>K50+L50</f>
        <v>344900</v>
      </c>
      <c r="N50" s="207">
        <f t="shared" si="33"/>
        <v>0</v>
      </c>
      <c r="O50" s="209" t="s">
        <v>69</v>
      </c>
    </row>
    <row r="51" spans="1:16" s="34" customFormat="1" x14ac:dyDescent="0.35">
      <c r="A51" s="47" t="s">
        <v>6</v>
      </c>
      <c r="B51" s="231">
        <f t="shared" ref="B51:N51" si="43">SUM(B29:B32,B36:B37)</f>
        <v>166849300</v>
      </c>
      <c r="C51" s="204">
        <f t="shared" si="43"/>
        <v>-616300</v>
      </c>
      <c r="D51" s="193">
        <f t="shared" si="43"/>
        <v>166233000</v>
      </c>
      <c r="E51" s="204">
        <f t="shared" si="43"/>
        <v>243600</v>
      </c>
      <c r="F51" s="205">
        <f t="shared" si="43"/>
        <v>1628500</v>
      </c>
      <c r="G51" s="205">
        <f t="shared" si="43"/>
        <v>201600</v>
      </c>
      <c r="H51" s="205">
        <f t="shared" si="43"/>
        <v>0</v>
      </c>
      <c r="I51" s="193">
        <f t="shared" si="43"/>
        <v>350000</v>
      </c>
      <c r="J51" s="193">
        <f t="shared" si="43"/>
        <v>790000</v>
      </c>
      <c r="K51" s="205">
        <f t="shared" si="43"/>
        <v>168656700</v>
      </c>
      <c r="L51" s="205">
        <f t="shared" si="43"/>
        <v>790000</v>
      </c>
      <c r="M51" s="205">
        <f t="shared" si="43"/>
        <v>169446700</v>
      </c>
      <c r="N51" s="205">
        <f t="shared" si="43"/>
        <v>1807400</v>
      </c>
      <c r="O51" s="206">
        <f>(K51-B51)/B51</f>
        <v>1.0832529713939465E-2</v>
      </c>
      <c r="P51" s="52"/>
    </row>
    <row r="52" spans="1:16" s="34" customFormat="1" x14ac:dyDescent="0.35">
      <c r="A52" s="37"/>
      <c r="B52" s="144"/>
      <c r="C52" s="37"/>
      <c r="D52" s="181"/>
      <c r="E52" s="37"/>
      <c r="F52" s="113"/>
      <c r="G52" s="113"/>
      <c r="H52" s="113"/>
      <c r="I52" s="115"/>
      <c r="J52" s="115"/>
      <c r="K52" s="113"/>
      <c r="L52" s="113"/>
      <c r="M52" s="113"/>
      <c r="N52" s="113"/>
      <c r="O52" s="183"/>
    </row>
    <row r="53" spans="1:16" s="34" customFormat="1" x14ac:dyDescent="0.35">
      <c r="A53" s="48" t="s">
        <v>33</v>
      </c>
      <c r="B53" s="151">
        <f t="shared" ref="B53:N53" si="44">B11+B26+B51</f>
        <v>556871100</v>
      </c>
      <c r="C53" s="215">
        <f t="shared" si="44"/>
        <v>-616300</v>
      </c>
      <c r="D53" s="195">
        <f t="shared" si="44"/>
        <v>556254800</v>
      </c>
      <c r="E53" s="215">
        <f t="shared" si="44"/>
        <v>2282300</v>
      </c>
      <c r="F53" s="216">
        <f t="shared" si="44"/>
        <v>24536500</v>
      </c>
      <c r="G53" s="216">
        <f t="shared" si="44"/>
        <v>1879500</v>
      </c>
      <c r="H53" s="216">
        <f t="shared" si="44"/>
        <v>0</v>
      </c>
      <c r="I53" s="195">
        <f t="shared" si="44"/>
        <v>350000</v>
      </c>
      <c r="J53" s="195">
        <f t="shared" si="44"/>
        <v>790000</v>
      </c>
      <c r="K53" s="216">
        <f t="shared" si="44"/>
        <v>585303100</v>
      </c>
      <c r="L53" s="216">
        <f t="shared" si="44"/>
        <v>790000</v>
      </c>
      <c r="M53" s="216">
        <f t="shared" si="44"/>
        <v>586093100</v>
      </c>
      <c r="N53" s="216">
        <f t="shared" si="44"/>
        <v>28432000</v>
      </c>
      <c r="O53" s="217">
        <f>(K53-B53)/B53</f>
        <v>5.1056698758473906E-2</v>
      </c>
      <c r="P53" s="52"/>
    </row>
    <row r="54" spans="1:16" s="34" customFormat="1" x14ac:dyDescent="0.35">
      <c r="A54" s="37"/>
      <c r="B54" s="143"/>
      <c r="C54" s="218"/>
      <c r="D54" s="193"/>
      <c r="E54" s="218"/>
      <c r="F54" s="205"/>
      <c r="G54" s="205"/>
      <c r="H54" s="205"/>
      <c r="I54" s="193"/>
      <c r="J54" s="193"/>
      <c r="K54" s="205"/>
      <c r="L54" s="205"/>
      <c r="M54" s="205"/>
      <c r="N54" s="205"/>
      <c r="O54" s="206"/>
    </row>
    <row r="55" spans="1:16" s="34" customFormat="1" x14ac:dyDescent="0.35">
      <c r="A55" s="41" t="s">
        <v>34</v>
      </c>
      <c r="B55" s="148">
        <f>B53+'2023-24 Form Distr'!B27</f>
        <v>1992309000</v>
      </c>
      <c r="C55" s="91">
        <f>C53+'2023-24 Form Distr'!C27</f>
        <v>-616000</v>
      </c>
      <c r="D55" s="90">
        <f>D53+'2023-24 Form Distr'!D27</f>
        <v>1991693000</v>
      </c>
      <c r="E55" s="91">
        <f>E53+'2023-24 Form Distr'!E27</f>
        <v>39087300</v>
      </c>
      <c r="F55" s="89">
        <f>F53+'2023-24 Form Distr'!G27</f>
        <v>88332500</v>
      </c>
      <c r="G55" s="89">
        <f>G53+'2023-24 Form Distr'!H27</f>
        <v>8569400</v>
      </c>
      <c r="H55" s="89">
        <f>H53+'2023-24 Form Distr'!I27</f>
        <v>0</v>
      </c>
      <c r="I55" s="90">
        <f>I53+'2023-24 Form Distr'!J27</f>
        <v>1350000</v>
      </c>
      <c r="J55" s="90">
        <f>J53+'2023-24 Form Distr'!K27</f>
        <v>11240000</v>
      </c>
      <c r="K55" s="89">
        <f>K53+'2023-24 Form Distr'!L27</f>
        <v>2140085100</v>
      </c>
      <c r="L55" s="89">
        <f>L53+'2023-24 Form Distr'!M27</f>
        <v>11240000</v>
      </c>
      <c r="M55" s="89">
        <f>M53+'2023-24 Form Distr'!N27</f>
        <v>2151325100</v>
      </c>
      <c r="N55" s="89">
        <f>N53+'2023-24 Form Distr'!O27</f>
        <v>147776100</v>
      </c>
      <c r="O55" s="200">
        <f>(K55-B55)/B55</f>
        <v>7.4173283361165368E-2</v>
      </c>
      <c r="P55" s="52"/>
    </row>
    <row r="56" spans="1:16" s="34" customFormat="1" x14ac:dyDescent="0.35">
      <c r="A56" s="37"/>
      <c r="B56" s="144"/>
      <c r="C56" s="37"/>
      <c r="D56" s="115"/>
      <c r="E56" s="37"/>
      <c r="F56" s="113"/>
      <c r="G56" s="113"/>
      <c r="H56" s="113"/>
      <c r="I56" s="115"/>
      <c r="J56" s="115"/>
      <c r="K56" s="113"/>
      <c r="L56" s="113"/>
      <c r="M56" s="113"/>
      <c r="N56" s="113"/>
      <c r="O56" s="183"/>
    </row>
    <row r="57" spans="1:16" s="34" customFormat="1" x14ac:dyDescent="0.35">
      <c r="A57" s="39" t="s">
        <v>35</v>
      </c>
      <c r="B57" s="144"/>
      <c r="C57" s="37"/>
      <c r="D57" s="115"/>
      <c r="E57" s="37"/>
      <c r="F57" s="113"/>
      <c r="G57" s="113"/>
      <c r="H57" s="113"/>
      <c r="I57" s="115"/>
      <c r="J57" s="115"/>
      <c r="K57" s="113"/>
      <c r="L57" s="113"/>
      <c r="M57" s="113"/>
      <c r="N57" s="113"/>
      <c r="O57" s="183"/>
    </row>
    <row r="58" spans="1:16" s="34" customFormat="1" x14ac:dyDescent="0.35">
      <c r="A58" s="37" t="s">
        <v>36</v>
      </c>
      <c r="B58" s="141">
        <v>19728600</v>
      </c>
      <c r="C58" s="178">
        <v>0</v>
      </c>
      <c r="D58" s="84">
        <f t="shared" ref="D58:D66" si="45">SUM(B58:C58)</f>
        <v>19728600</v>
      </c>
      <c r="E58" s="178">
        <v>0</v>
      </c>
      <c r="F58" s="83">
        <v>788500</v>
      </c>
      <c r="G58" s="83">
        <v>0</v>
      </c>
      <c r="H58" s="83">
        <v>0</v>
      </c>
      <c r="I58" s="84">
        <v>0</v>
      </c>
      <c r="J58" s="84">
        <v>0</v>
      </c>
      <c r="K58" s="83">
        <f t="shared" ref="K58:K63" si="46">SUM(D58,E58:I58)</f>
        <v>20517100</v>
      </c>
      <c r="L58" s="83">
        <f t="shared" ref="L58:L63" si="47">SUM(J58:J58)</f>
        <v>0</v>
      </c>
      <c r="M58" s="83">
        <f t="shared" ref="M58:M65" si="48">K58+L58</f>
        <v>20517100</v>
      </c>
      <c r="N58" s="83">
        <f t="shared" ref="N58:N63" si="49">K58-B58</f>
        <v>788500</v>
      </c>
      <c r="O58" s="183">
        <f t="shared" ref="O58:O73" si="50">(K58-B58)/B58</f>
        <v>3.9967357034964471E-2</v>
      </c>
    </row>
    <row r="59" spans="1:16" s="34" customFormat="1" x14ac:dyDescent="0.35">
      <c r="A59" s="37" t="s">
        <v>37</v>
      </c>
      <c r="B59" s="142">
        <v>1431300</v>
      </c>
      <c r="C59" s="180">
        <v>0</v>
      </c>
      <c r="D59" s="181">
        <f t="shared" si="45"/>
        <v>1431300</v>
      </c>
      <c r="E59" s="180">
        <v>0</v>
      </c>
      <c r="F59" s="182">
        <v>58500</v>
      </c>
      <c r="G59" s="182">
        <v>0</v>
      </c>
      <c r="H59" s="182">
        <v>0</v>
      </c>
      <c r="I59" s="181">
        <v>0</v>
      </c>
      <c r="J59" s="181">
        <v>0</v>
      </c>
      <c r="K59" s="182">
        <f t="shared" si="46"/>
        <v>1489800</v>
      </c>
      <c r="L59" s="182">
        <f t="shared" si="47"/>
        <v>0</v>
      </c>
      <c r="M59" s="182">
        <f t="shared" si="48"/>
        <v>1489800</v>
      </c>
      <c r="N59" s="182">
        <f t="shared" si="49"/>
        <v>58500</v>
      </c>
      <c r="O59" s="183">
        <f t="shared" si="50"/>
        <v>4.0871934604904632E-2</v>
      </c>
    </row>
    <row r="60" spans="1:16" s="34" customFormat="1" ht="15.75" customHeight="1" x14ac:dyDescent="0.35">
      <c r="A60" s="37" t="s">
        <v>89</v>
      </c>
      <c r="B60" s="142">
        <v>1211800</v>
      </c>
      <c r="C60" s="180">
        <v>0</v>
      </c>
      <c r="D60" s="181">
        <f t="shared" si="45"/>
        <v>1211800</v>
      </c>
      <c r="E60" s="180">
        <v>0</v>
      </c>
      <c r="F60" s="182">
        <v>0</v>
      </c>
      <c r="G60" s="182">
        <v>0</v>
      </c>
      <c r="H60" s="182">
        <v>0</v>
      </c>
      <c r="I60" s="181">
        <v>0</v>
      </c>
      <c r="J60" s="181">
        <v>0</v>
      </c>
      <c r="K60" s="182">
        <f t="shared" si="46"/>
        <v>1211800</v>
      </c>
      <c r="L60" s="182">
        <f t="shared" si="47"/>
        <v>0</v>
      </c>
      <c r="M60" s="182">
        <f t="shared" si="48"/>
        <v>1211800</v>
      </c>
      <c r="N60" s="182">
        <f t="shared" si="49"/>
        <v>0</v>
      </c>
      <c r="O60" s="183">
        <f t="shared" si="50"/>
        <v>0</v>
      </c>
    </row>
    <row r="61" spans="1:16" s="34" customFormat="1" x14ac:dyDescent="0.35">
      <c r="A61" s="37" t="s">
        <v>38</v>
      </c>
      <c r="B61" s="149">
        <v>5806700</v>
      </c>
      <c r="C61" s="180">
        <v>0</v>
      </c>
      <c r="D61" s="181">
        <f t="shared" si="45"/>
        <v>5806700</v>
      </c>
      <c r="E61" s="180">
        <v>0</v>
      </c>
      <c r="F61" s="182">
        <v>0</v>
      </c>
      <c r="G61" s="182">
        <v>0</v>
      </c>
      <c r="H61" s="182">
        <v>0</v>
      </c>
      <c r="I61" s="181">
        <v>0</v>
      </c>
      <c r="J61" s="181">
        <v>0</v>
      </c>
      <c r="K61" s="182">
        <f t="shared" si="46"/>
        <v>5806700</v>
      </c>
      <c r="L61" s="182">
        <f t="shared" si="47"/>
        <v>0</v>
      </c>
      <c r="M61" s="182">
        <f t="shared" si="48"/>
        <v>5806700</v>
      </c>
      <c r="N61" s="182">
        <f t="shared" si="49"/>
        <v>0</v>
      </c>
      <c r="O61" s="183">
        <f t="shared" si="50"/>
        <v>0</v>
      </c>
    </row>
    <row r="62" spans="1:16" s="34" customFormat="1" x14ac:dyDescent="0.35">
      <c r="A62" s="37" t="s">
        <v>39</v>
      </c>
      <c r="B62" s="149">
        <v>10256900</v>
      </c>
      <c r="C62" s="180">
        <v>0</v>
      </c>
      <c r="D62" s="181">
        <f t="shared" si="45"/>
        <v>10256900</v>
      </c>
      <c r="E62" s="180">
        <v>0</v>
      </c>
      <c r="F62" s="182">
        <v>0</v>
      </c>
      <c r="G62" s="182">
        <v>0</v>
      </c>
      <c r="H62" s="182">
        <v>0</v>
      </c>
      <c r="I62" s="181">
        <v>0</v>
      </c>
      <c r="J62" s="181">
        <v>0</v>
      </c>
      <c r="K62" s="182">
        <f t="shared" si="46"/>
        <v>10256900</v>
      </c>
      <c r="L62" s="182">
        <f t="shared" si="47"/>
        <v>0</v>
      </c>
      <c r="M62" s="182">
        <f>K62+L62</f>
        <v>10256900</v>
      </c>
      <c r="N62" s="182">
        <f t="shared" si="49"/>
        <v>0</v>
      </c>
      <c r="O62" s="183">
        <f t="shared" si="50"/>
        <v>0</v>
      </c>
    </row>
    <row r="63" spans="1:16" s="34" customFormat="1" x14ac:dyDescent="0.35">
      <c r="A63" s="40" t="s">
        <v>41</v>
      </c>
      <c r="B63" s="149">
        <v>5852900</v>
      </c>
      <c r="C63" s="180">
        <v>0</v>
      </c>
      <c r="D63" s="181">
        <f>SUM(B63:C63)</f>
        <v>5852900</v>
      </c>
      <c r="E63" s="180">
        <v>0</v>
      </c>
      <c r="F63" s="182">
        <v>0</v>
      </c>
      <c r="G63" s="182">
        <v>0</v>
      </c>
      <c r="H63" s="182">
        <v>0</v>
      </c>
      <c r="I63" s="181">
        <v>0</v>
      </c>
      <c r="J63" s="181">
        <v>0</v>
      </c>
      <c r="K63" s="182">
        <f t="shared" si="46"/>
        <v>5852900</v>
      </c>
      <c r="L63" s="182">
        <f t="shared" si="47"/>
        <v>0</v>
      </c>
      <c r="M63" s="182">
        <f>K63+L63</f>
        <v>5852900</v>
      </c>
      <c r="N63" s="182">
        <f t="shared" si="49"/>
        <v>0</v>
      </c>
      <c r="O63" s="183">
        <f t="shared" si="50"/>
        <v>0</v>
      </c>
    </row>
    <row r="64" spans="1:16" s="34" customFormat="1" x14ac:dyDescent="0.35">
      <c r="A64" s="37" t="s">
        <v>40</v>
      </c>
      <c r="B64" s="149">
        <f t="shared" ref="B64:N64" si="51">SUM(B65:B73)</f>
        <v>8661200</v>
      </c>
      <c r="C64" s="180">
        <f t="shared" si="51"/>
        <v>0</v>
      </c>
      <c r="D64" s="181">
        <f t="shared" si="51"/>
        <v>8661200</v>
      </c>
      <c r="E64" s="180">
        <f t="shared" si="51"/>
        <v>0</v>
      </c>
      <c r="F64" s="182">
        <f t="shared" si="51"/>
        <v>0</v>
      </c>
      <c r="G64" s="182">
        <f t="shared" si="51"/>
        <v>0</v>
      </c>
      <c r="H64" s="182">
        <f t="shared" si="51"/>
        <v>0</v>
      </c>
      <c r="I64" s="181">
        <f t="shared" si="51"/>
        <v>0</v>
      </c>
      <c r="J64" s="181">
        <f t="shared" si="51"/>
        <v>1925000</v>
      </c>
      <c r="K64" s="182">
        <f t="shared" si="51"/>
        <v>8661200</v>
      </c>
      <c r="L64" s="182">
        <f t="shared" si="51"/>
        <v>1925000</v>
      </c>
      <c r="M64" s="182">
        <f t="shared" si="51"/>
        <v>10586200</v>
      </c>
      <c r="N64" s="182">
        <f t="shared" si="51"/>
        <v>0</v>
      </c>
      <c r="O64" s="183">
        <f t="shared" si="50"/>
        <v>0</v>
      </c>
    </row>
    <row r="65" spans="1:16" s="53" customFormat="1" x14ac:dyDescent="0.35">
      <c r="A65" s="42" t="s">
        <v>84</v>
      </c>
      <c r="B65" s="152">
        <v>3125600</v>
      </c>
      <c r="C65" s="234">
        <v>0</v>
      </c>
      <c r="D65" s="179">
        <f t="shared" si="45"/>
        <v>3125600</v>
      </c>
      <c r="E65" s="234">
        <v>0</v>
      </c>
      <c r="F65" s="188">
        <v>0</v>
      </c>
      <c r="G65" s="188">
        <v>0</v>
      </c>
      <c r="H65" s="188">
        <v>0</v>
      </c>
      <c r="I65" s="179">
        <v>0</v>
      </c>
      <c r="J65" s="179">
        <v>0</v>
      </c>
      <c r="K65" s="188">
        <f t="shared" ref="K65:K72" si="52">SUM(D65,E65:I65)</f>
        <v>3125600</v>
      </c>
      <c r="L65" s="188">
        <f t="shared" ref="L65" si="53">SUM(J65:J65)</f>
        <v>0</v>
      </c>
      <c r="M65" s="188">
        <f t="shared" si="48"/>
        <v>3125600</v>
      </c>
      <c r="N65" s="188">
        <f t="shared" ref="N65:N73" si="54">K65-B65</f>
        <v>0</v>
      </c>
      <c r="O65" s="189">
        <f t="shared" si="50"/>
        <v>0</v>
      </c>
    </row>
    <row r="66" spans="1:16" s="53" customFormat="1" x14ac:dyDescent="0.35">
      <c r="A66" s="45" t="s">
        <v>102</v>
      </c>
      <c r="B66" s="153">
        <v>150000</v>
      </c>
      <c r="C66" s="235">
        <v>0</v>
      </c>
      <c r="D66" s="194">
        <f t="shared" si="45"/>
        <v>150000</v>
      </c>
      <c r="E66" s="235">
        <v>0</v>
      </c>
      <c r="F66" s="207">
        <v>0</v>
      </c>
      <c r="G66" s="207">
        <v>0</v>
      </c>
      <c r="H66" s="207">
        <v>0</v>
      </c>
      <c r="I66" s="194">
        <v>0</v>
      </c>
      <c r="J66" s="194">
        <v>0</v>
      </c>
      <c r="K66" s="207">
        <f t="shared" si="52"/>
        <v>150000</v>
      </c>
      <c r="L66" s="207">
        <f t="shared" ref="L66" si="55">SUM(J66:J66)</f>
        <v>0</v>
      </c>
      <c r="M66" s="207">
        <f t="shared" ref="M66" si="56">K66+L66</f>
        <v>150000</v>
      </c>
      <c r="N66" s="207">
        <f t="shared" si="54"/>
        <v>0</v>
      </c>
      <c r="O66" s="209">
        <f t="shared" si="50"/>
        <v>0</v>
      </c>
    </row>
    <row r="67" spans="1:16" s="53" customFormat="1" x14ac:dyDescent="0.35">
      <c r="A67" s="45" t="s">
        <v>95</v>
      </c>
      <c r="B67" s="153">
        <v>1100000</v>
      </c>
      <c r="C67" s="235">
        <v>0</v>
      </c>
      <c r="D67" s="194">
        <f t="shared" ref="D67:D72" si="57">SUM(B67:C67)</f>
        <v>1100000</v>
      </c>
      <c r="E67" s="235">
        <v>0</v>
      </c>
      <c r="F67" s="207">
        <v>0</v>
      </c>
      <c r="G67" s="207">
        <v>0</v>
      </c>
      <c r="H67" s="207">
        <v>0</v>
      </c>
      <c r="I67" s="194">
        <v>0</v>
      </c>
      <c r="J67" s="194">
        <v>0</v>
      </c>
      <c r="K67" s="207">
        <f t="shared" si="52"/>
        <v>1100000</v>
      </c>
      <c r="L67" s="207">
        <f t="shared" ref="L67:L72" si="58">SUM(J67:J67)</f>
        <v>0</v>
      </c>
      <c r="M67" s="207">
        <f t="shared" ref="M67:M72" si="59">K67+L67</f>
        <v>1100000</v>
      </c>
      <c r="N67" s="207">
        <f t="shared" si="54"/>
        <v>0</v>
      </c>
      <c r="O67" s="209">
        <f t="shared" si="50"/>
        <v>0</v>
      </c>
    </row>
    <row r="68" spans="1:16" s="53" customFormat="1" x14ac:dyDescent="0.35">
      <c r="A68" s="45" t="s">
        <v>111</v>
      </c>
      <c r="B68" s="153">
        <v>0</v>
      </c>
      <c r="C68" s="235">
        <v>0</v>
      </c>
      <c r="D68" s="194">
        <f t="shared" si="57"/>
        <v>0</v>
      </c>
      <c r="E68" s="235">
        <v>0</v>
      </c>
      <c r="F68" s="207">
        <v>0</v>
      </c>
      <c r="G68" s="207">
        <v>0</v>
      </c>
      <c r="H68" s="207">
        <v>0</v>
      </c>
      <c r="I68" s="194">
        <v>0</v>
      </c>
      <c r="J68" s="194">
        <v>800000</v>
      </c>
      <c r="K68" s="207">
        <f t="shared" si="52"/>
        <v>0</v>
      </c>
      <c r="L68" s="207">
        <f t="shared" si="58"/>
        <v>800000</v>
      </c>
      <c r="M68" s="207">
        <f t="shared" si="59"/>
        <v>800000</v>
      </c>
      <c r="N68" s="207">
        <f t="shared" ref="N68" si="60">K68-B68</f>
        <v>0</v>
      </c>
      <c r="O68" s="209" t="s">
        <v>69</v>
      </c>
    </row>
    <row r="69" spans="1:16" s="53" customFormat="1" x14ac:dyDescent="0.35">
      <c r="A69" s="45" t="s">
        <v>112</v>
      </c>
      <c r="B69" s="153">
        <v>0</v>
      </c>
      <c r="C69" s="235">
        <v>0</v>
      </c>
      <c r="D69" s="194">
        <f t="shared" si="57"/>
        <v>0</v>
      </c>
      <c r="E69" s="235">
        <v>0</v>
      </c>
      <c r="F69" s="207">
        <v>0</v>
      </c>
      <c r="G69" s="207">
        <v>0</v>
      </c>
      <c r="H69" s="207">
        <v>0</v>
      </c>
      <c r="I69" s="194">
        <v>0</v>
      </c>
      <c r="J69" s="194">
        <v>625000</v>
      </c>
      <c r="K69" s="207">
        <f t="shared" si="52"/>
        <v>0</v>
      </c>
      <c r="L69" s="207">
        <f t="shared" ref="L69" si="61">SUM(J69:J69)</f>
        <v>625000</v>
      </c>
      <c r="M69" s="207">
        <f t="shared" ref="M69" si="62">K69+L69</f>
        <v>625000</v>
      </c>
      <c r="N69" s="207">
        <f t="shared" ref="N69" si="63">K69-B69</f>
        <v>0</v>
      </c>
      <c r="O69" s="209" t="s">
        <v>69</v>
      </c>
    </row>
    <row r="70" spans="1:16" s="53" customFormat="1" x14ac:dyDescent="0.35">
      <c r="A70" s="45" t="s">
        <v>113</v>
      </c>
      <c r="B70" s="153">
        <v>0</v>
      </c>
      <c r="C70" s="235">
        <v>0</v>
      </c>
      <c r="D70" s="194">
        <f t="shared" si="57"/>
        <v>0</v>
      </c>
      <c r="E70" s="235">
        <v>0</v>
      </c>
      <c r="F70" s="207">
        <v>0</v>
      </c>
      <c r="G70" s="207">
        <v>0</v>
      </c>
      <c r="H70" s="207">
        <v>0</v>
      </c>
      <c r="I70" s="194">
        <v>0</v>
      </c>
      <c r="J70" s="194">
        <v>500000</v>
      </c>
      <c r="K70" s="207">
        <f t="shared" si="52"/>
        <v>0</v>
      </c>
      <c r="L70" s="207">
        <f t="shared" si="58"/>
        <v>500000</v>
      </c>
      <c r="M70" s="207">
        <f t="shared" si="59"/>
        <v>500000</v>
      </c>
      <c r="N70" s="207">
        <f t="shared" si="54"/>
        <v>0</v>
      </c>
      <c r="O70" s="209" t="s">
        <v>69</v>
      </c>
    </row>
    <row r="71" spans="1:16" s="53" customFormat="1" x14ac:dyDescent="0.35">
      <c r="A71" s="45" t="s">
        <v>85</v>
      </c>
      <c r="B71" s="153">
        <v>250000</v>
      </c>
      <c r="C71" s="235">
        <v>0</v>
      </c>
      <c r="D71" s="194">
        <f t="shared" si="57"/>
        <v>250000</v>
      </c>
      <c r="E71" s="235">
        <v>0</v>
      </c>
      <c r="F71" s="207">
        <v>0</v>
      </c>
      <c r="G71" s="207">
        <v>0</v>
      </c>
      <c r="H71" s="207">
        <v>0</v>
      </c>
      <c r="I71" s="194">
        <v>0</v>
      </c>
      <c r="J71" s="194">
        <v>0</v>
      </c>
      <c r="K71" s="207">
        <f t="shared" si="52"/>
        <v>250000</v>
      </c>
      <c r="L71" s="207">
        <f t="shared" si="58"/>
        <v>0</v>
      </c>
      <c r="M71" s="207">
        <f t="shared" si="59"/>
        <v>250000</v>
      </c>
      <c r="N71" s="207">
        <f t="shared" si="54"/>
        <v>0</v>
      </c>
      <c r="O71" s="209">
        <f t="shared" si="50"/>
        <v>0</v>
      </c>
    </row>
    <row r="72" spans="1:16" s="34" customFormat="1" x14ac:dyDescent="0.35">
      <c r="A72" s="45" t="s">
        <v>94</v>
      </c>
      <c r="B72" s="153">
        <v>2035600</v>
      </c>
      <c r="C72" s="235">
        <v>0</v>
      </c>
      <c r="D72" s="194">
        <f t="shared" si="57"/>
        <v>2035600</v>
      </c>
      <c r="E72" s="235">
        <v>0</v>
      </c>
      <c r="F72" s="207">
        <v>0</v>
      </c>
      <c r="G72" s="207">
        <v>0</v>
      </c>
      <c r="H72" s="207">
        <v>0</v>
      </c>
      <c r="I72" s="194">
        <v>0</v>
      </c>
      <c r="J72" s="194">
        <v>0</v>
      </c>
      <c r="K72" s="207">
        <f t="shared" si="52"/>
        <v>2035600</v>
      </c>
      <c r="L72" s="207">
        <f t="shared" si="58"/>
        <v>0</v>
      </c>
      <c r="M72" s="207">
        <f t="shared" si="59"/>
        <v>2035600</v>
      </c>
      <c r="N72" s="207">
        <f t="shared" si="54"/>
        <v>0</v>
      </c>
      <c r="O72" s="209">
        <f t="shared" si="50"/>
        <v>0</v>
      </c>
    </row>
    <row r="73" spans="1:16" s="53" customFormat="1" x14ac:dyDescent="0.35">
      <c r="A73" s="46" t="s">
        <v>106</v>
      </c>
      <c r="B73" s="154">
        <v>2000000</v>
      </c>
      <c r="C73" s="190">
        <v>0</v>
      </c>
      <c r="D73" s="191">
        <f>SUM(B73:C73)</f>
        <v>2000000</v>
      </c>
      <c r="E73" s="190">
        <v>0</v>
      </c>
      <c r="F73" s="201">
        <v>0</v>
      </c>
      <c r="G73" s="201">
        <v>0</v>
      </c>
      <c r="H73" s="201">
        <v>0</v>
      </c>
      <c r="I73" s="191">
        <v>0</v>
      </c>
      <c r="J73" s="191">
        <v>0</v>
      </c>
      <c r="K73" s="201">
        <f>SUM(D73,E73:I73)</f>
        <v>2000000</v>
      </c>
      <c r="L73" s="201">
        <f>SUM(J73)</f>
        <v>0</v>
      </c>
      <c r="M73" s="201">
        <f>K73+L73</f>
        <v>2000000</v>
      </c>
      <c r="N73" s="201">
        <f t="shared" si="54"/>
        <v>0</v>
      </c>
      <c r="O73" s="202">
        <f t="shared" si="50"/>
        <v>0</v>
      </c>
    </row>
    <row r="74" spans="1:16" s="34" customFormat="1" x14ac:dyDescent="0.35">
      <c r="A74" s="41" t="s">
        <v>7</v>
      </c>
      <c r="B74" s="148">
        <f t="shared" ref="B74:N74" si="64">SUM(B58:B64)</f>
        <v>52949400</v>
      </c>
      <c r="C74" s="91">
        <f t="shared" si="64"/>
        <v>0</v>
      </c>
      <c r="D74" s="90">
        <f t="shared" si="64"/>
        <v>52949400</v>
      </c>
      <c r="E74" s="91">
        <f t="shared" si="64"/>
        <v>0</v>
      </c>
      <c r="F74" s="89">
        <f t="shared" si="64"/>
        <v>847000</v>
      </c>
      <c r="G74" s="89">
        <f t="shared" si="64"/>
        <v>0</v>
      </c>
      <c r="H74" s="89">
        <f t="shared" si="64"/>
        <v>0</v>
      </c>
      <c r="I74" s="90">
        <f t="shared" si="64"/>
        <v>0</v>
      </c>
      <c r="J74" s="90">
        <f t="shared" si="64"/>
        <v>1925000</v>
      </c>
      <c r="K74" s="89">
        <f t="shared" si="64"/>
        <v>53796400</v>
      </c>
      <c r="L74" s="89">
        <f t="shared" si="64"/>
        <v>1925000</v>
      </c>
      <c r="M74" s="89">
        <f t="shared" si="64"/>
        <v>55721400</v>
      </c>
      <c r="N74" s="89">
        <f t="shared" si="64"/>
        <v>847000</v>
      </c>
      <c r="O74" s="200">
        <f>(K74-B74)/B74</f>
        <v>1.5996404114116496E-2</v>
      </c>
    </row>
    <row r="75" spans="1:16" s="34" customFormat="1" x14ac:dyDescent="0.35">
      <c r="A75" s="37"/>
      <c r="B75" s="144"/>
      <c r="C75" s="37"/>
      <c r="D75" s="115"/>
      <c r="E75" s="37"/>
      <c r="F75" s="113"/>
      <c r="G75" s="113"/>
      <c r="H75" s="113"/>
      <c r="I75" s="115"/>
      <c r="J75" s="115"/>
      <c r="K75" s="113"/>
      <c r="L75" s="113"/>
      <c r="M75" s="113"/>
      <c r="N75" s="113"/>
      <c r="O75" s="183"/>
    </row>
    <row r="76" spans="1:16" s="34" customFormat="1" ht="18.75" thickBot="1" x14ac:dyDescent="0.4">
      <c r="A76" s="49" t="s">
        <v>71</v>
      </c>
      <c r="B76" s="155">
        <f t="shared" ref="B76:N76" si="65">B55+B74</f>
        <v>2045258400</v>
      </c>
      <c r="C76" s="97">
        <f t="shared" si="65"/>
        <v>-616000</v>
      </c>
      <c r="D76" s="116">
        <f t="shared" si="65"/>
        <v>2044642400</v>
      </c>
      <c r="E76" s="97">
        <f t="shared" si="65"/>
        <v>39087300</v>
      </c>
      <c r="F76" s="114">
        <f t="shared" si="65"/>
        <v>89179500</v>
      </c>
      <c r="G76" s="114">
        <f t="shared" si="65"/>
        <v>8569400</v>
      </c>
      <c r="H76" s="114">
        <f t="shared" si="65"/>
        <v>0</v>
      </c>
      <c r="I76" s="116">
        <f t="shared" si="65"/>
        <v>1350000</v>
      </c>
      <c r="J76" s="116">
        <f t="shared" si="65"/>
        <v>13165000</v>
      </c>
      <c r="K76" s="114">
        <f t="shared" si="65"/>
        <v>2193881500</v>
      </c>
      <c r="L76" s="114">
        <f t="shared" si="65"/>
        <v>13165000</v>
      </c>
      <c r="M76" s="114">
        <f t="shared" si="65"/>
        <v>2207046500</v>
      </c>
      <c r="N76" s="114">
        <f t="shared" si="65"/>
        <v>148623100</v>
      </c>
      <c r="O76" s="222">
        <f>(K76-B76)/B76</f>
        <v>7.2667150517509188E-2</v>
      </c>
      <c r="P76" s="52"/>
    </row>
    <row r="77" spans="1:16" s="34" customFormat="1" ht="20.25" customHeight="1" thickBot="1" x14ac:dyDescent="0.4">
      <c r="A77" s="50"/>
      <c r="B77" s="156"/>
      <c r="C77" s="221"/>
      <c r="D77" s="196"/>
      <c r="E77" s="221"/>
      <c r="F77" s="50"/>
      <c r="G77" s="50"/>
      <c r="H77" s="50"/>
      <c r="I77" s="50"/>
      <c r="J77" s="50"/>
      <c r="K77" s="50"/>
      <c r="L77" s="50"/>
      <c r="M77" s="223"/>
      <c r="N77" s="50"/>
      <c r="O77" s="50"/>
      <c r="P77" s="224"/>
    </row>
    <row r="78" spans="1:16" s="34" customFormat="1" ht="18.75" thickBot="1" x14ac:dyDescent="0.4">
      <c r="A78" s="51" t="s">
        <v>90</v>
      </c>
      <c r="B78" s="157">
        <v>50000000</v>
      </c>
      <c r="C78" s="157">
        <v>0</v>
      </c>
      <c r="D78" s="197">
        <f>SUM(B78:C78)</f>
        <v>50000000</v>
      </c>
      <c r="E78" s="157">
        <v>0</v>
      </c>
      <c r="F78" s="210">
        <v>0</v>
      </c>
      <c r="G78" s="210">
        <v>0</v>
      </c>
      <c r="H78" s="210">
        <v>0</v>
      </c>
      <c r="I78" s="210">
        <v>0</v>
      </c>
      <c r="J78" s="211">
        <v>0</v>
      </c>
      <c r="K78" s="212">
        <f>SUM(D78,E78:I78)</f>
        <v>50000000</v>
      </c>
      <c r="L78" s="210">
        <f>SUM(J78:J78)</f>
        <v>0</v>
      </c>
      <c r="M78" s="213">
        <f t="shared" ref="M78" si="66">K78+L78</f>
        <v>50000000</v>
      </c>
      <c r="N78" s="213">
        <f>K78-B78</f>
        <v>0</v>
      </c>
      <c r="O78" s="214">
        <f>(K78-B78)/B78</f>
        <v>0</v>
      </c>
      <c r="P78" s="52"/>
    </row>
    <row r="79" spans="1:16" s="34" customFormat="1" ht="20.25" hidden="1" customHeight="1" thickBot="1" x14ac:dyDescent="0.4">
      <c r="A79" s="50"/>
      <c r="B79" s="156"/>
      <c r="C79" s="221"/>
      <c r="D79" s="196"/>
      <c r="E79" s="221"/>
      <c r="F79" s="50"/>
      <c r="G79" s="50"/>
      <c r="H79" s="50"/>
      <c r="I79" s="50"/>
      <c r="J79" s="50"/>
      <c r="K79" s="50"/>
      <c r="L79" s="50"/>
      <c r="M79" s="223"/>
      <c r="N79" s="50"/>
      <c r="O79" s="50"/>
      <c r="P79" s="224"/>
    </row>
    <row r="80" spans="1:16" s="34" customFormat="1" ht="18.75" hidden="1" thickBot="1" x14ac:dyDescent="0.4">
      <c r="A80" s="51" t="s">
        <v>101</v>
      </c>
      <c r="B80" s="157">
        <v>0</v>
      </c>
      <c r="C80" s="157">
        <v>0</v>
      </c>
      <c r="D80" s="197">
        <f>SUM(B80:C80)</f>
        <v>0</v>
      </c>
      <c r="E80" s="157">
        <v>0</v>
      </c>
      <c r="F80" s="210">
        <v>0</v>
      </c>
      <c r="G80" s="210">
        <v>0</v>
      </c>
      <c r="H80" s="210">
        <v>0</v>
      </c>
      <c r="I80" s="210">
        <v>0</v>
      </c>
      <c r="J80" s="210">
        <v>0</v>
      </c>
      <c r="K80" s="212">
        <f>SUM(D80,E80:I80)</f>
        <v>0</v>
      </c>
      <c r="L80" s="210">
        <f>SUM(J80:J80)</f>
        <v>0</v>
      </c>
      <c r="M80" s="213">
        <f t="shared" ref="M80" si="67">K80+L80</f>
        <v>0</v>
      </c>
      <c r="N80" s="213">
        <f>K80-B80</f>
        <v>0</v>
      </c>
      <c r="O80" s="214" t="s">
        <v>69</v>
      </c>
      <c r="P80" s="52"/>
    </row>
    <row r="81" spans="1:16" s="34" customFormat="1" ht="20.25" customHeight="1" thickBot="1" x14ac:dyDescent="0.4">
      <c r="A81" s="50"/>
      <c r="C81" s="156"/>
      <c r="D81" s="156"/>
      <c r="E81" s="221"/>
      <c r="F81" s="50"/>
      <c r="G81" s="50"/>
      <c r="H81" s="50"/>
      <c r="I81" s="50"/>
      <c r="J81" s="50"/>
      <c r="K81" s="50"/>
      <c r="L81" s="50"/>
      <c r="M81" s="223">
        <f>M76+M78</f>
        <v>2257046500</v>
      </c>
      <c r="N81" s="50"/>
      <c r="O81" s="50"/>
      <c r="P81" s="225"/>
    </row>
    <row r="82" spans="1:16" s="34" customFormat="1" ht="18.75" thickBot="1" x14ac:dyDescent="0.4">
      <c r="A82" s="255" t="s">
        <v>78</v>
      </c>
      <c r="B82" s="244">
        <v>463318000</v>
      </c>
      <c r="C82" s="244">
        <v>-20218000</v>
      </c>
      <c r="D82" s="256">
        <f>SUM(B82:C82)</f>
        <v>443100000</v>
      </c>
      <c r="E82" s="244">
        <v>0</v>
      </c>
      <c r="F82" s="257">
        <v>0</v>
      </c>
      <c r="G82" s="257">
        <v>0</v>
      </c>
      <c r="H82" s="257">
        <v>0</v>
      </c>
      <c r="I82" s="244">
        <v>0</v>
      </c>
      <c r="J82" s="258">
        <v>0</v>
      </c>
      <c r="K82" s="259">
        <f>SUM(D82,E82:I82)</f>
        <v>443100000</v>
      </c>
      <c r="L82" s="257">
        <f>SUM(J82:J82)</f>
        <v>0</v>
      </c>
      <c r="M82" s="260">
        <f t="shared" ref="M82" si="68">K82+L82</f>
        <v>443100000</v>
      </c>
      <c r="N82" s="260">
        <f>K82-B82</f>
        <v>-20218000</v>
      </c>
      <c r="O82" s="261">
        <f>(K82-B82)/B82</f>
        <v>-4.3637415338924887E-2</v>
      </c>
      <c r="P82" s="52"/>
    </row>
    <row r="83" spans="1:16" s="34" customFormat="1" ht="18.75" thickBot="1" x14ac:dyDescent="0.4">
      <c r="D83" s="198"/>
      <c r="F83" s="198"/>
      <c r="G83" s="198"/>
      <c r="H83" s="198"/>
      <c r="I83" s="198"/>
      <c r="J83" s="198"/>
      <c r="K83" s="199"/>
      <c r="L83" s="199"/>
      <c r="M83" s="226"/>
      <c r="N83" s="199"/>
      <c r="O83" s="198"/>
      <c r="P83" s="227"/>
    </row>
    <row r="84" spans="1:16" s="34" customFormat="1" ht="18.75" thickBot="1" x14ac:dyDescent="0.4">
      <c r="A84" s="51" t="s">
        <v>100</v>
      </c>
      <c r="B84" s="157">
        <f>B76+B78+B80+B82</f>
        <v>2558576400</v>
      </c>
      <c r="C84" s="157">
        <f t="shared" ref="C84:M84" si="69">C76+C78+C80+C82</f>
        <v>-20834000</v>
      </c>
      <c r="D84" s="197">
        <f t="shared" si="69"/>
        <v>2537742400</v>
      </c>
      <c r="E84" s="157">
        <f t="shared" si="69"/>
        <v>39087300</v>
      </c>
      <c r="F84" s="210">
        <f t="shared" si="69"/>
        <v>89179500</v>
      </c>
      <c r="G84" s="210">
        <f t="shared" si="69"/>
        <v>8569400</v>
      </c>
      <c r="H84" s="210">
        <f t="shared" si="69"/>
        <v>0</v>
      </c>
      <c r="I84" s="210">
        <f t="shared" si="69"/>
        <v>1350000</v>
      </c>
      <c r="J84" s="211">
        <f t="shared" si="69"/>
        <v>13165000</v>
      </c>
      <c r="K84" s="210">
        <f t="shared" si="69"/>
        <v>2686981500</v>
      </c>
      <c r="L84" s="210">
        <f t="shared" si="69"/>
        <v>13165000</v>
      </c>
      <c r="M84" s="213">
        <f t="shared" si="69"/>
        <v>2700146500</v>
      </c>
      <c r="N84" s="213">
        <f>N76+N78+N80+N82</f>
        <v>128405100</v>
      </c>
      <c r="O84" s="214">
        <f>(K84-B84)/B84</f>
        <v>5.0186150392069591E-2</v>
      </c>
      <c r="P84" s="227"/>
    </row>
    <row r="85" spans="1:16" x14ac:dyDescent="0.35">
      <c r="B85" s="158"/>
      <c r="C85" s="198"/>
      <c r="D85" s="198"/>
      <c r="E85" s="198"/>
      <c r="F85" s="198"/>
      <c r="G85" s="198"/>
      <c r="H85" s="198"/>
      <c r="I85" s="198"/>
      <c r="J85" s="198"/>
      <c r="K85" s="8"/>
      <c r="L85" s="9"/>
      <c r="M85" s="10"/>
      <c r="N85" s="9"/>
      <c r="O85" s="8"/>
    </row>
    <row r="86" spans="1:16" x14ac:dyDescent="0.35">
      <c r="B86" s="228"/>
      <c r="C86" s="198"/>
      <c r="D86" s="199"/>
      <c r="E86" s="198"/>
      <c r="F86" s="198"/>
      <c r="G86" s="198"/>
      <c r="H86" s="198"/>
      <c r="I86" s="198"/>
      <c r="J86" s="198"/>
      <c r="K86" s="9"/>
      <c r="L86" s="11"/>
      <c r="M86" s="10"/>
      <c r="N86" s="9"/>
      <c r="O86" s="8"/>
    </row>
    <row r="87" spans="1:16" x14ac:dyDescent="0.35">
      <c r="B87" s="158"/>
      <c r="C87" s="198"/>
      <c r="D87" s="229"/>
      <c r="E87" s="198"/>
      <c r="F87" s="236"/>
      <c r="G87" s="236"/>
      <c r="H87" s="198"/>
      <c r="I87" s="198"/>
      <c r="J87" s="198"/>
      <c r="K87" s="12"/>
      <c r="L87" s="9"/>
      <c r="M87" s="10"/>
      <c r="N87" s="9"/>
      <c r="O87" s="8"/>
      <c r="P87" s="227"/>
    </row>
    <row r="88" spans="1:16" x14ac:dyDescent="0.35">
      <c r="B88" s="158"/>
      <c r="C88" s="198"/>
      <c r="D88" s="198"/>
      <c r="E88" s="198"/>
      <c r="F88" s="237"/>
      <c r="G88" s="237"/>
      <c r="H88" s="198"/>
      <c r="I88" s="198"/>
      <c r="J88" s="198"/>
      <c r="K88" s="12"/>
      <c r="L88" s="9"/>
      <c r="M88" s="10"/>
      <c r="N88" s="9"/>
      <c r="O88" s="8"/>
      <c r="P88" s="227"/>
    </row>
    <row r="89" spans="1:16" x14ac:dyDescent="0.35">
      <c r="M89" s="13"/>
      <c r="N89" s="3"/>
    </row>
    <row r="90" spans="1:16" x14ac:dyDescent="0.35">
      <c r="M90" s="3"/>
      <c r="N90" s="3"/>
    </row>
    <row r="93" spans="1:16" x14ac:dyDescent="0.35">
      <c r="C93" s="238"/>
    </row>
  </sheetData>
  <mergeCells count="4">
    <mergeCell ref="A1:O1"/>
    <mergeCell ref="C3:D3"/>
    <mergeCell ref="K3:M3"/>
    <mergeCell ref="E3:I3"/>
  </mergeCells>
  <phoneticPr fontId="20" type="noConversion"/>
  <printOptions horizontalCentered="1"/>
  <pageMargins left="0.25" right="0.25" top="0.25" bottom="0.25" header="0.5" footer="0.5"/>
  <pageSetup paperSize="17" scale="52" orientation="landscape" r:id="rId1"/>
  <headerFooter alignWithMargins="0"/>
  <ignoredErrors>
    <ignoredError sqref="C21 E21:K21 L21:N21 K16:K2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2023-24 Form Distr</vt:lpstr>
      <vt:lpstr>2023-24 SPU Distr</vt:lpstr>
      <vt:lpstr>'2023-24 Form Distr'!Print_Area</vt:lpstr>
      <vt:lpstr>'2023-24 SPU Distr'!Print_Area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CB50111</dc:creator>
  <cp:lastModifiedBy>Crystal Collins</cp:lastModifiedBy>
  <cp:lastPrinted>2023-02-06T22:27:49Z</cp:lastPrinted>
  <dcterms:created xsi:type="dcterms:W3CDTF">2011-03-14T18:34:44Z</dcterms:created>
  <dcterms:modified xsi:type="dcterms:W3CDTF">2023-03-29T16:10:48Z</dcterms:modified>
</cp:coreProperties>
</file>