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Fiscal\Fiscal Policy\STAY_OUT\FY2022-23\Reports\Legislative Action\Work Program\"/>
    </mc:Choice>
  </mc:AlternateContent>
  <xr:revisionPtr revIDLastSave="0" documentId="13_ncr:1_{B200FC16-6805-463C-9C39-782DFD724ACB}" xr6:coauthVersionLast="47" xr6:coauthVersionMax="47" xr10:uidLastSave="{00000000-0000-0000-0000-000000000000}"/>
  <bookViews>
    <workbookView xWindow="-120" yWindow="-120" windowWidth="20730" windowHeight="11160" xr2:uid="{00000000-000D-0000-FFFF-FFFF00000000}"/>
  </bookViews>
  <sheets>
    <sheet name="2022-23 Form Distr" sheetId="1" r:id="rId1"/>
    <sheet name="2022-23 SPU Distr" sheetId="2" r:id="rId2"/>
  </sheets>
  <definedNames>
    <definedName name="A">#REF!</definedName>
    <definedName name="B">#REF!</definedName>
    <definedName name="cbh">#REF!</definedName>
    <definedName name="_xlnm.Print_Area" localSheetId="0">'2022-23 Form Distr'!$A$1:$P$27</definedName>
    <definedName name="_xlnm.Print_Area" localSheetId="1">'2022-23 SPU Distr'!$A$1:$P$88</definedName>
    <definedName name="russ">#REF!</definedName>
    <definedName name="SchedA">#REF!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2" l="1"/>
  <c r="H39" i="2"/>
  <c r="C66" i="2" l="1"/>
  <c r="L77" i="2" l="1"/>
  <c r="L51" i="2"/>
  <c r="L50" i="2"/>
  <c r="L36" i="2"/>
  <c r="H32" i="2"/>
  <c r="H31" i="2"/>
  <c r="I31" i="2"/>
  <c r="I86" i="2"/>
  <c r="I32" i="2"/>
  <c r="H29" i="2"/>
  <c r="H30" i="2"/>
  <c r="I30" i="2"/>
  <c r="H25" i="2"/>
  <c r="H24" i="2"/>
  <c r="H23" i="2"/>
  <c r="H22" i="2"/>
  <c r="H21" i="2"/>
  <c r="H20" i="2"/>
  <c r="H18" i="2"/>
  <c r="H17" i="2"/>
  <c r="H15" i="2"/>
  <c r="H14" i="2"/>
  <c r="H10" i="2"/>
  <c r="H9" i="2"/>
  <c r="I9" i="2"/>
  <c r="H8" i="2"/>
  <c r="H7" i="2"/>
  <c r="H25" i="1"/>
  <c r="I25" i="1"/>
  <c r="H21" i="1"/>
  <c r="H18" i="1"/>
  <c r="H17" i="1"/>
  <c r="H16" i="1"/>
  <c r="H12" i="1"/>
  <c r="H11" i="1"/>
  <c r="I11" i="1"/>
  <c r="H10" i="1"/>
  <c r="H9" i="1"/>
  <c r="H8" i="1"/>
  <c r="H7" i="1"/>
  <c r="J17" i="1" l="1"/>
  <c r="J30" i="2"/>
  <c r="M14" i="2"/>
  <c r="J31" i="2"/>
  <c r="M31" i="2" s="1"/>
  <c r="K25" i="1"/>
  <c r="M25" i="1" s="1"/>
  <c r="K8" i="1"/>
  <c r="K7" i="1"/>
  <c r="M7" i="1" s="1"/>
  <c r="K32" i="1"/>
  <c r="K34" i="1"/>
  <c r="M21" i="1"/>
  <c r="M18" i="1"/>
  <c r="M17" i="1"/>
  <c r="M16" i="1"/>
  <c r="M12" i="1"/>
  <c r="M10" i="1"/>
  <c r="M8" i="1"/>
  <c r="K19" i="1"/>
  <c r="K92" i="2" s="1"/>
  <c r="K65" i="2"/>
  <c r="K38" i="2"/>
  <c r="K32" i="2"/>
  <c r="K21" i="2"/>
  <c r="K26" i="2" s="1"/>
  <c r="K11" i="2"/>
  <c r="M86" i="2"/>
  <c r="M82" i="2"/>
  <c r="M77" i="2"/>
  <c r="M76" i="2"/>
  <c r="M75" i="2"/>
  <c r="M74" i="2"/>
  <c r="M73" i="2"/>
  <c r="M72" i="2"/>
  <c r="M71" i="2"/>
  <c r="M70" i="2"/>
  <c r="M69" i="2"/>
  <c r="M68" i="2"/>
  <c r="M67" i="2"/>
  <c r="M66" i="2"/>
  <c r="M64" i="2"/>
  <c r="M63" i="2"/>
  <c r="M62" i="2"/>
  <c r="M61" i="2"/>
  <c r="M60" i="2"/>
  <c r="M59" i="2"/>
  <c r="M51" i="2"/>
  <c r="M50" i="2"/>
  <c r="M49" i="2"/>
  <c r="M48" i="2"/>
  <c r="M47" i="2"/>
  <c r="M46" i="2"/>
  <c r="M45" i="2"/>
  <c r="M44" i="2"/>
  <c r="M43" i="2"/>
  <c r="M42" i="2"/>
  <c r="M41" i="2"/>
  <c r="M40" i="2"/>
  <c r="M39" i="2"/>
  <c r="M37" i="2"/>
  <c r="M36" i="2"/>
  <c r="M35" i="2"/>
  <c r="M34" i="2"/>
  <c r="M33" i="2"/>
  <c r="M30" i="2"/>
  <c r="M29" i="2"/>
  <c r="M25" i="2"/>
  <c r="M24" i="2"/>
  <c r="M23" i="2"/>
  <c r="M22" i="2"/>
  <c r="M20" i="2"/>
  <c r="M19" i="2"/>
  <c r="M18" i="2"/>
  <c r="M17" i="2"/>
  <c r="M16" i="2"/>
  <c r="M15" i="2"/>
  <c r="M10" i="2"/>
  <c r="M9" i="2"/>
  <c r="M8" i="2"/>
  <c r="M7" i="2"/>
  <c r="K13" i="1" l="1"/>
  <c r="K91" i="2" s="1"/>
  <c r="K90" i="2"/>
  <c r="K52" i="2"/>
  <c r="K54" i="2" s="1"/>
  <c r="K78" i="2"/>
  <c r="K23" i="1"/>
  <c r="K27" i="1" s="1"/>
  <c r="M21" i="2"/>
  <c r="K33" i="1"/>
  <c r="M11" i="2"/>
  <c r="J9" i="1"/>
  <c r="M9" i="1" s="1"/>
  <c r="K35" i="1" l="1"/>
  <c r="K56" i="2"/>
  <c r="K80" i="2" s="1"/>
  <c r="K88" i="2" s="1"/>
  <c r="I76" i="2"/>
  <c r="J50" i="2"/>
  <c r="I50" i="2"/>
  <c r="H11" i="2" l="1"/>
  <c r="H26" i="2"/>
  <c r="H38" i="2"/>
  <c r="H52" i="2" s="1"/>
  <c r="H65" i="2"/>
  <c r="H78" i="2"/>
  <c r="C17" i="1"/>
  <c r="H90" i="2" l="1"/>
  <c r="H54" i="2"/>
  <c r="J38" i="2"/>
  <c r="I38" i="2"/>
  <c r="G38" i="2"/>
  <c r="F38" i="2"/>
  <c r="E38" i="2"/>
  <c r="C38" i="2"/>
  <c r="D51" i="2"/>
  <c r="D50" i="2"/>
  <c r="O50" i="2" s="1"/>
  <c r="P50" i="2" s="1"/>
  <c r="J11" i="1"/>
  <c r="M11" i="1" s="1"/>
  <c r="G25" i="1"/>
  <c r="G21" i="1"/>
  <c r="G31" i="2"/>
  <c r="G12" i="1"/>
  <c r="G11" i="1"/>
  <c r="G10" i="1"/>
  <c r="G9" i="1"/>
  <c r="G8" i="1"/>
  <c r="G7" i="1"/>
  <c r="G8" i="2"/>
  <c r="G7" i="2"/>
  <c r="G18" i="1"/>
  <c r="G17" i="1"/>
  <c r="G16" i="1"/>
  <c r="G10" i="2"/>
  <c r="G9" i="2"/>
  <c r="G15" i="2"/>
  <c r="G14" i="2"/>
  <c r="G20" i="2"/>
  <c r="G24" i="2"/>
  <c r="G25" i="2"/>
  <c r="G23" i="2"/>
  <c r="G22" i="2"/>
  <c r="G30" i="2"/>
  <c r="G29" i="2"/>
  <c r="O51" i="2" l="1"/>
  <c r="P51" i="2" s="1"/>
  <c r="N50" i="2"/>
  <c r="N51" i="2" l="1"/>
  <c r="C21" i="2"/>
  <c r="D29" i="2" l="1"/>
  <c r="L29" i="2" s="1"/>
  <c r="B38" i="2"/>
  <c r="O29" i="2" l="1"/>
  <c r="P29" i="2" s="1"/>
  <c r="N29" i="2"/>
  <c r="D17" i="1"/>
  <c r="L17" i="1" l="1"/>
  <c r="B3" i="2" l="1"/>
  <c r="J65" i="2" l="1"/>
  <c r="J90" i="2" s="1"/>
  <c r="D73" i="2" l="1"/>
  <c r="L73" i="2" s="1"/>
  <c r="N73" i="2" l="1"/>
  <c r="O73" i="2"/>
  <c r="P73" i="2" s="1"/>
  <c r="D74" i="2"/>
  <c r="L74" i="2" s="1"/>
  <c r="D75" i="2"/>
  <c r="L75" i="2" s="1"/>
  <c r="D76" i="2"/>
  <c r="L76" i="2" s="1"/>
  <c r="C65" i="2"/>
  <c r="O75" i="2" l="1"/>
  <c r="P75" i="2" s="1"/>
  <c r="O74" i="2"/>
  <c r="P74" i="2" s="1"/>
  <c r="N75" i="2"/>
  <c r="N74" i="2"/>
  <c r="J21" i="2"/>
  <c r="J26" i="2" s="1"/>
  <c r="I21" i="2"/>
  <c r="I26" i="2" s="1"/>
  <c r="G21" i="2"/>
  <c r="G26" i="2" s="1"/>
  <c r="F21" i="2"/>
  <c r="F26" i="2" s="1"/>
  <c r="E21" i="2"/>
  <c r="E26" i="2" s="1"/>
  <c r="C26" i="2"/>
  <c r="N76" i="2" l="1"/>
  <c r="A1" i="2" l="1"/>
  <c r="C34" i="1" l="1"/>
  <c r="E34" i="1"/>
  <c r="F34" i="1"/>
  <c r="G34" i="1"/>
  <c r="H34" i="1"/>
  <c r="I34" i="1"/>
  <c r="J34" i="1"/>
  <c r="M84" i="2" l="1"/>
  <c r="D84" i="2"/>
  <c r="L84" i="2" l="1"/>
  <c r="O84" i="2" l="1"/>
  <c r="N84" i="2"/>
  <c r="F32" i="1" l="1"/>
  <c r="C10" i="2" l="1"/>
  <c r="E11" i="2"/>
  <c r="F11" i="2"/>
  <c r="I11" i="2"/>
  <c r="J11" i="2"/>
  <c r="M65" i="2"/>
  <c r="N17" i="1"/>
  <c r="M34" i="1" l="1"/>
  <c r="M26" i="2"/>
  <c r="C11" i="2"/>
  <c r="J78" i="2"/>
  <c r="I65" i="2"/>
  <c r="G65" i="2"/>
  <c r="F65" i="2"/>
  <c r="E65" i="2"/>
  <c r="C78" i="2"/>
  <c r="M78" i="2"/>
  <c r="F78" i="2" l="1"/>
  <c r="F90" i="2"/>
  <c r="G78" i="2"/>
  <c r="G90" i="2"/>
  <c r="E78" i="2"/>
  <c r="E90" i="2"/>
  <c r="I78" i="2"/>
  <c r="I90" i="2"/>
  <c r="G11" i="2"/>
  <c r="O76" i="2" l="1"/>
  <c r="P76" i="2" s="1"/>
  <c r="M38" i="2" l="1"/>
  <c r="M90" i="2" s="1"/>
  <c r="C32" i="2"/>
  <c r="C52" i="2" l="1"/>
  <c r="C90" i="2"/>
  <c r="D36" i="2"/>
  <c r="H32" i="1" l="1"/>
  <c r="E32" i="1"/>
  <c r="C32" i="1"/>
  <c r="E32" i="2"/>
  <c r="E52" i="2" s="1"/>
  <c r="F32" i="2"/>
  <c r="F52" i="2" s="1"/>
  <c r="F54" i="2" s="1"/>
  <c r="G32" i="2"/>
  <c r="G52" i="2" s="1"/>
  <c r="I52" i="2"/>
  <c r="J32" i="2"/>
  <c r="J52" i="2" s="1"/>
  <c r="C13" i="1"/>
  <c r="H13" i="1"/>
  <c r="E13" i="1"/>
  <c r="F13" i="1"/>
  <c r="I13" i="1"/>
  <c r="J13" i="1"/>
  <c r="J91" i="2" s="1"/>
  <c r="C19" i="1"/>
  <c r="C92" i="2" s="1"/>
  <c r="H19" i="1"/>
  <c r="H92" i="2" s="1"/>
  <c r="E19" i="1"/>
  <c r="E92" i="2" s="1"/>
  <c r="F19" i="1"/>
  <c r="F92" i="2" s="1"/>
  <c r="I19" i="1"/>
  <c r="I92" i="2" s="1"/>
  <c r="J19" i="1"/>
  <c r="J92" i="2" s="1"/>
  <c r="I32" i="1"/>
  <c r="J32" i="1"/>
  <c r="I33" i="1" l="1"/>
  <c r="I91" i="2"/>
  <c r="F33" i="1"/>
  <c r="F91" i="2"/>
  <c r="E33" i="1"/>
  <c r="E91" i="2"/>
  <c r="H33" i="1"/>
  <c r="H91" i="2"/>
  <c r="C33" i="1"/>
  <c r="C91" i="2"/>
  <c r="J33" i="1"/>
  <c r="J23" i="1"/>
  <c r="J27" i="1" s="1"/>
  <c r="J35" i="1" s="1"/>
  <c r="M32" i="2"/>
  <c r="M52" i="2" s="1"/>
  <c r="N36" i="2"/>
  <c r="C54" i="2"/>
  <c r="C56" i="2" s="1"/>
  <c r="C80" i="2" s="1"/>
  <c r="J54" i="2"/>
  <c r="I54" i="2"/>
  <c r="E54" i="2"/>
  <c r="E23" i="1"/>
  <c r="E27" i="1" s="1"/>
  <c r="H23" i="1"/>
  <c r="H27" i="1" s="1"/>
  <c r="I23" i="1"/>
  <c r="I27" i="1" s="1"/>
  <c r="I35" i="1" s="1"/>
  <c r="C23" i="1"/>
  <c r="C27" i="1" s="1"/>
  <c r="M32" i="1"/>
  <c r="M13" i="1"/>
  <c r="M19" i="1"/>
  <c r="M92" i="2" s="1"/>
  <c r="F23" i="1"/>
  <c r="F27" i="1" s="1"/>
  <c r="F35" i="1" s="1"/>
  <c r="G32" i="1"/>
  <c r="G19" i="1"/>
  <c r="G92" i="2" s="1"/>
  <c r="G13" i="1"/>
  <c r="G54" i="2"/>
  <c r="O36" i="2"/>
  <c r="P36" i="2" s="1"/>
  <c r="M33" i="1" l="1"/>
  <c r="M91" i="2"/>
  <c r="G33" i="1"/>
  <c r="G91" i="2"/>
  <c r="E35" i="1"/>
  <c r="H35" i="1"/>
  <c r="H56" i="2"/>
  <c r="H80" i="2" s="1"/>
  <c r="H88" i="2" s="1"/>
  <c r="C35" i="1"/>
  <c r="C88" i="2"/>
  <c r="J56" i="2"/>
  <c r="F56" i="2"/>
  <c r="F80" i="2" s="1"/>
  <c r="F88" i="2" s="1"/>
  <c r="M54" i="2"/>
  <c r="M23" i="1"/>
  <c r="M27" i="1" s="1"/>
  <c r="M35" i="1" s="1"/>
  <c r="I56" i="2"/>
  <c r="I80" i="2" s="1"/>
  <c r="I88" i="2" s="1"/>
  <c r="E56" i="2"/>
  <c r="E80" i="2" s="1"/>
  <c r="E88" i="2" s="1"/>
  <c r="G23" i="1"/>
  <c r="G27" i="1" s="1"/>
  <c r="G56" i="2" s="1"/>
  <c r="G80" i="2" s="1"/>
  <c r="G88" i="2" s="1"/>
  <c r="G35" i="1" l="1"/>
  <c r="M56" i="2"/>
  <c r="M80" i="2" s="1"/>
  <c r="M88" i="2" s="1"/>
  <c r="J80" i="2"/>
  <c r="J88" i="2" s="1"/>
  <c r="B65" i="2" l="1"/>
  <c r="B78" i="2" l="1"/>
  <c r="D72" i="2"/>
  <c r="L72" i="2" s="1"/>
  <c r="D69" i="2"/>
  <c r="L69" i="2" s="1"/>
  <c r="D68" i="2"/>
  <c r="L68" i="2" s="1"/>
  <c r="D67" i="2"/>
  <c r="L67" i="2" s="1"/>
  <c r="D70" i="2"/>
  <c r="L70" i="2" s="1"/>
  <c r="D82" i="2"/>
  <c r="L82" i="2" s="1"/>
  <c r="D71" i="2"/>
  <c r="L71" i="2" s="1"/>
  <c r="D77" i="2"/>
  <c r="N72" i="2" l="1"/>
  <c r="O72" i="2"/>
  <c r="P72" i="2" s="1"/>
  <c r="N70" i="2"/>
  <c r="O70" i="2"/>
  <c r="P70" i="2" s="1"/>
  <c r="N69" i="2"/>
  <c r="O69" i="2"/>
  <c r="P69" i="2" s="1"/>
  <c r="N77" i="2"/>
  <c r="O77" i="2"/>
  <c r="P77" i="2" s="1"/>
  <c r="D66" i="2"/>
  <c r="L66" i="2" s="1"/>
  <c r="N68" i="2"/>
  <c r="O68" i="2"/>
  <c r="P68" i="2" s="1"/>
  <c r="N71" i="2"/>
  <c r="O71" i="2"/>
  <c r="P71" i="2" s="1"/>
  <c r="O82" i="2"/>
  <c r="P82" i="2" s="1"/>
  <c r="N82" i="2"/>
  <c r="O67" i="2"/>
  <c r="P67" i="2" s="1"/>
  <c r="N67" i="2"/>
  <c r="D65" i="2" l="1"/>
  <c r="N66" i="2" l="1"/>
  <c r="O66" i="2"/>
  <c r="L65" i="2"/>
  <c r="D49" i="2"/>
  <c r="L49" i="2" s="1"/>
  <c r="O65" i="2" l="1"/>
  <c r="P65" i="2" s="1"/>
  <c r="P66" i="2"/>
  <c r="N65" i="2"/>
  <c r="O49" i="2" l="1"/>
  <c r="P49" i="2" s="1"/>
  <c r="N49" i="2"/>
  <c r="D48" i="2" l="1"/>
  <c r="L48" i="2" s="1"/>
  <c r="O48" i="2" l="1"/>
  <c r="P48" i="2" s="1"/>
  <c r="N48" i="2"/>
  <c r="D42" i="2" l="1"/>
  <c r="L42" i="2" s="1"/>
  <c r="D40" i="2"/>
  <c r="L40" i="2" s="1"/>
  <c r="D41" i="2"/>
  <c r="L41" i="2" s="1"/>
  <c r="D44" i="2"/>
  <c r="L44" i="2" s="1"/>
  <c r="D46" i="2"/>
  <c r="L46" i="2" s="1"/>
  <c r="D43" i="2"/>
  <c r="L43" i="2" s="1"/>
  <c r="D45" i="2"/>
  <c r="L45" i="2" s="1"/>
  <c r="O43" i="2" l="1"/>
  <c r="P43" i="2" s="1"/>
  <c r="N43" i="2"/>
  <c r="O41" i="2"/>
  <c r="P41" i="2" s="1"/>
  <c r="N41" i="2"/>
  <c r="N45" i="2"/>
  <c r="O45" i="2"/>
  <c r="P45" i="2" s="1"/>
  <c r="O42" i="2"/>
  <c r="P42" i="2" s="1"/>
  <c r="N42" i="2"/>
  <c r="O44" i="2"/>
  <c r="P44" i="2" s="1"/>
  <c r="N44" i="2"/>
  <c r="N40" i="2"/>
  <c r="O40" i="2"/>
  <c r="P40" i="2" s="1"/>
  <c r="O46" i="2"/>
  <c r="P46" i="2" s="1"/>
  <c r="N46" i="2"/>
  <c r="D47" i="2" l="1"/>
  <c r="L47" i="2" s="1"/>
  <c r="D37" i="2"/>
  <c r="L37" i="2" s="1"/>
  <c r="D86" i="2" l="1"/>
  <c r="O47" i="2"/>
  <c r="P47" i="2" s="1"/>
  <c r="N47" i="2"/>
  <c r="O37" i="2"/>
  <c r="P37" i="2" s="1"/>
  <c r="N37" i="2"/>
  <c r="L86" i="2" l="1"/>
  <c r="O86" i="2" s="1"/>
  <c r="N86" i="2" l="1"/>
  <c r="P86" i="2"/>
  <c r="D33" i="2"/>
  <c r="L33" i="2" s="1"/>
  <c r="D64" i="2"/>
  <c r="L64" i="2" s="1"/>
  <c r="D62" i="2"/>
  <c r="L62" i="2" s="1"/>
  <c r="D35" i="2"/>
  <c r="L35" i="2" s="1"/>
  <c r="D63" i="2"/>
  <c r="L63" i="2" s="1"/>
  <c r="D61" i="2"/>
  <c r="L61" i="2" l="1"/>
  <c r="O62" i="2"/>
  <c r="P62" i="2" s="1"/>
  <c r="N62" i="2"/>
  <c r="O35" i="2"/>
  <c r="P35" i="2" s="1"/>
  <c r="N35" i="2"/>
  <c r="O33" i="2"/>
  <c r="P33" i="2" s="1"/>
  <c r="N33" i="2"/>
  <c r="O64" i="2"/>
  <c r="P64" i="2" s="1"/>
  <c r="N64" i="2"/>
  <c r="N63" i="2"/>
  <c r="O63" i="2"/>
  <c r="P63" i="2" s="1"/>
  <c r="O61" i="2" l="1"/>
  <c r="P61" i="2" s="1"/>
  <c r="N61" i="2"/>
  <c r="D23" i="2"/>
  <c r="L23" i="2" s="1"/>
  <c r="B21" i="2" l="1"/>
  <c r="D22" i="2"/>
  <c r="L22" i="2" s="1"/>
  <c r="D21" i="2" l="1"/>
  <c r="N23" i="2"/>
  <c r="O23" i="2"/>
  <c r="P23" i="2" s="1"/>
  <c r="O22" i="2" l="1"/>
  <c r="L21" i="2"/>
  <c r="N22" i="2"/>
  <c r="O21" i="2" l="1"/>
  <c r="P21" i="2" s="1"/>
  <c r="P22" i="2"/>
  <c r="D9" i="2"/>
  <c r="L9" i="2" s="1"/>
  <c r="N21" i="2"/>
  <c r="D10" i="2" l="1"/>
  <c r="L10" i="2" s="1"/>
  <c r="N9" i="2"/>
  <c r="O9" i="2"/>
  <c r="P9" i="2" s="1"/>
  <c r="O10" i="2" l="1"/>
  <c r="P10" i="2" s="1"/>
  <c r="N10" i="2"/>
  <c r="D39" i="2" l="1"/>
  <c r="D38" i="2" l="1"/>
  <c r="L39" i="2"/>
  <c r="D21" i="1"/>
  <c r="L21" i="1" s="1"/>
  <c r="L38" i="2" l="1"/>
  <c r="N21" i="1"/>
  <c r="O21" i="1"/>
  <c r="P21" i="1" s="1"/>
  <c r="O39" i="2"/>
  <c r="N39" i="2"/>
  <c r="N38" i="2" s="1"/>
  <c r="O38" i="2" l="1"/>
  <c r="P38" i="2" s="1"/>
  <c r="P39" i="2"/>
  <c r="D15" i="2"/>
  <c r="L15" i="2" s="1"/>
  <c r="D24" i="2"/>
  <c r="L24" i="2" s="1"/>
  <c r="D19" i="2"/>
  <c r="L19" i="2" s="1"/>
  <c r="D9" i="1"/>
  <c r="L9" i="1" s="1"/>
  <c r="D25" i="2"/>
  <c r="L25" i="2" s="1"/>
  <c r="D17" i="2"/>
  <c r="L17" i="2" s="1"/>
  <c r="D10" i="1"/>
  <c r="L10" i="1" s="1"/>
  <c r="D60" i="2"/>
  <c r="D16" i="2"/>
  <c r="L16" i="2" s="1"/>
  <c r="D30" i="2"/>
  <c r="L30" i="2" s="1"/>
  <c r="D25" i="1"/>
  <c r="L25" i="1" s="1"/>
  <c r="B34" i="1"/>
  <c r="D20" i="2"/>
  <c r="L20" i="2" s="1"/>
  <c r="D31" i="2"/>
  <c r="L31" i="2" s="1"/>
  <c r="D8" i="1"/>
  <c r="L8" i="1" s="1"/>
  <c r="D8" i="2"/>
  <c r="L8" i="2" s="1"/>
  <c r="D7" i="1"/>
  <c r="L7" i="1" s="1"/>
  <c r="B13" i="1"/>
  <c r="D11" i="1"/>
  <c r="L11" i="1" s="1"/>
  <c r="D18" i="1"/>
  <c r="L18" i="1" s="1"/>
  <c r="D12" i="1"/>
  <c r="L12" i="1" s="1"/>
  <c r="D18" i="2"/>
  <c r="L18" i="2" s="1"/>
  <c r="D16" i="1"/>
  <c r="L16" i="1" s="1"/>
  <c r="B32" i="1"/>
  <c r="B19" i="1"/>
  <c r="B92" i="2" s="1"/>
  <c r="B33" i="1" l="1"/>
  <c r="B91" i="2"/>
  <c r="L60" i="2"/>
  <c r="L13" i="1"/>
  <c r="B23" i="1"/>
  <c r="B27" i="1" s="1"/>
  <c r="D32" i="1"/>
  <c r="D19" i="1"/>
  <c r="N11" i="1"/>
  <c r="O11" i="1"/>
  <c r="P11" i="1" s="1"/>
  <c r="B11" i="2"/>
  <c r="D7" i="2"/>
  <c r="L7" i="2" s="1"/>
  <c r="N9" i="1"/>
  <c r="O9" i="1"/>
  <c r="P9" i="1" s="1"/>
  <c r="O16" i="1"/>
  <c r="P16" i="1" s="1"/>
  <c r="L19" i="1"/>
  <c r="N16" i="1"/>
  <c r="L32" i="1"/>
  <c r="D34" i="1"/>
  <c r="O17" i="1"/>
  <c r="P17" i="1" s="1"/>
  <c r="D59" i="2"/>
  <c r="L59" i="2" s="1"/>
  <c r="O12" i="1"/>
  <c r="P12" i="1" s="1"/>
  <c r="N12" i="1"/>
  <c r="N18" i="1"/>
  <c r="O18" i="1"/>
  <c r="P18" i="1" s="1"/>
  <c r="D13" i="1"/>
  <c r="O8" i="1"/>
  <c r="P8" i="1" s="1"/>
  <c r="N8" i="1"/>
  <c r="O25" i="1"/>
  <c r="N25" i="1"/>
  <c r="L34" i="1"/>
  <c r="D34" i="2"/>
  <c r="L34" i="2" s="1"/>
  <c r="B32" i="2"/>
  <c r="O10" i="1"/>
  <c r="P10" i="1" s="1"/>
  <c r="N10" i="1"/>
  <c r="D91" i="2" l="1"/>
  <c r="B35" i="1"/>
  <c r="L91" i="2"/>
  <c r="B52" i="2"/>
  <c r="B90" i="2"/>
  <c r="O34" i="1"/>
  <c r="P25" i="1"/>
  <c r="N7" i="1"/>
  <c r="N13" i="1" s="1"/>
  <c r="O7" i="1"/>
  <c r="L23" i="1"/>
  <c r="D11" i="2"/>
  <c r="D23" i="1"/>
  <c r="N34" i="1"/>
  <c r="O30" i="2"/>
  <c r="P30" i="2" s="1"/>
  <c r="N30" i="2"/>
  <c r="O60" i="2"/>
  <c r="N60" i="2"/>
  <c r="O16" i="2"/>
  <c r="P16" i="2" s="1"/>
  <c r="N16" i="2"/>
  <c r="N8" i="2"/>
  <c r="O8" i="2"/>
  <c r="P8" i="2" s="1"/>
  <c r="O15" i="2"/>
  <c r="P15" i="2" s="1"/>
  <c r="N15" i="2"/>
  <c r="N17" i="2"/>
  <c r="O17" i="2"/>
  <c r="P17" i="2" s="1"/>
  <c r="O19" i="1"/>
  <c r="O32" i="1"/>
  <c r="O19" i="2"/>
  <c r="P19" i="2" s="1"/>
  <c r="N19" i="2"/>
  <c r="N20" i="2"/>
  <c r="O20" i="2"/>
  <c r="P20" i="2" s="1"/>
  <c r="L33" i="1"/>
  <c r="D32" i="2"/>
  <c r="D52" i="2" s="1"/>
  <c r="N24" i="2"/>
  <c r="O24" i="2"/>
  <c r="P24" i="2" s="1"/>
  <c r="D33" i="1"/>
  <c r="D78" i="2"/>
  <c r="D14" i="2"/>
  <c r="L14" i="2" s="1"/>
  <c r="B26" i="2"/>
  <c r="N25" i="2"/>
  <c r="O25" i="2"/>
  <c r="P25" i="2" s="1"/>
  <c r="O31" i="2"/>
  <c r="P31" i="2" s="1"/>
  <c r="N31" i="2"/>
  <c r="N19" i="1"/>
  <c r="N32" i="1"/>
  <c r="O18" i="2"/>
  <c r="P18" i="2" s="1"/>
  <c r="N18" i="2"/>
  <c r="L92" i="2" l="1"/>
  <c r="D92" i="2"/>
  <c r="P60" i="2"/>
  <c r="D90" i="2"/>
  <c r="P19" i="1"/>
  <c r="O13" i="1"/>
  <c r="O23" i="1" s="1"/>
  <c r="P7" i="1"/>
  <c r="L27" i="1"/>
  <c r="B54" i="2"/>
  <c r="N33" i="1"/>
  <c r="D27" i="1"/>
  <c r="D26" i="2"/>
  <c r="L78" i="2"/>
  <c r="O59" i="2"/>
  <c r="N59" i="2"/>
  <c r="O34" i="2"/>
  <c r="N34" i="2"/>
  <c r="L32" i="2"/>
  <c r="N7" i="2"/>
  <c r="N91" i="2" s="1"/>
  <c r="O7" i="2"/>
  <c r="L11" i="2"/>
  <c r="N23" i="1"/>
  <c r="N32" i="2" l="1"/>
  <c r="N90" i="2" s="1"/>
  <c r="L52" i="2"/>
  <c r="L90" i="2"/>
  <c r="O91" i="2"/>
  <c r="O27" i="1"/>
  <c r="P27" i="1" s="1"/>
  <c r="P23" i="1"/>
  <c r="O32" i="2"/>
  <c r="O90" i="2" s="1"/>
  <c r="P34" i="2"/>
  <c r="O78" i="2"/>
  <c r="P78" i="2" s="1"/>
  <c r="P59" i="2"/>
  <c r="O11" i="2"/>
  <c r="P11" i="2" s="1"/>
  <c r="P7" i="2"/>
  <c r="O33" i="1"/>
  <c r="O35" i="1" s="1"/>
  <c r="P13" i="1"/>
  <c r="D54" i="2"/>
  <c r="N52" i="2"/>
  <c r="N78" i="2"/>
  <c r="L35" i="1"/>
  <c r="D35" i="1"/>
  <c r="N27" i="1"/>
  <c r="N11" i="2"/>
  <c r="B56" i="2"/>
  <c r="O14" i="2"/>
  <c r="O92" i="2" s="1"/>
  <c r="N14" i="2"/>
  <c r="N92" i="2" s="1"/>
  <c r="L26" i="2"/>
  <c r="O26" i="2" l="1"/>
  <c r="P14" i="2"/>
  <c r="O52" i="2"/>
  <c r="P52" i="2" s="1"/>
  <c r="P32" i="2"/>
  <c r="D56" i="2"/>
  <c r="D80" i="2" s="1"/>
  <c r="L54" i="2"/>
  <c r="N26" i="2"/>
  <c r="B80" i="2"/>
  <c r="N35" i="1"/>
  <c r="O54" i="2" l="1"/>
  <c r="P26" i="2"/>
  <c r="D88" i="2"/>
  <c r="N54" i="2"/>
  <c r="L56" i="2"/>
  <c r="B88" i="2"/>
  <c r="O56" i="2" l="1"/>
  <c r="P54" i="2"/>
  <c r="L80" i="2"/>
  <c r="L88" i="2" s="1"/>
  <c r="N56" i="2"/>
  <c r="O80" i="2" l="1"/>
  <c r="P56" i="2"/>
  <c r="N80" i="2"/>
  <c r="O88" i="2" l="1"/>
  <c r="P88" i="2" s="1"/>
  <c r="P80" i="2"/>
  <c r="N88" i="2"/>
  <c r="N8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Crystal Collins</author>
  </authors>
  <commentList>
    <comment ref="J7" authorId="0" shapeId="0" xr:uid="{8C40B974-754C-44C0-BFE1-BB735312D540}">
      <text>
        <r>
          <rPr>
            <b/>
            <sz val="9"/>
            <color indexed="81"/>
            <rFont val="Tahoma"/>
            <family val="2"/>
          </rPr>
          <t>Crystal Collins:</t>
        </r>
        <r>
          <rPr>
            <sz val="9"/>
            <color indexed="81"/>
            <rFont val="Tahoma"/>
            <family val="2"/>
          </rPr>
          <t xml:space="preserve">
$750,000 - To provide nonrecurring funding for the sole purpose of development and implementation costs of the Institute for National Security and Military Studies. Year 2 of 3.
Admin Amendment 60.
</t>
        </r>
        <r>
          <rPr>
            <b/>
            <sz val="9"/>
            <color indexed="81"/>
            <rFont val="Tahoma"/>
            <family val="2"/>
          </rPr>
          <t xml:space="preserve">
Legislative Budget Section 55. Item 1 #49; pg 92</t>
        </r>
      </text>
    </comment>
    <comment ref="I8" authorId="0" shapeId="0" xr:uid="{C4A85054-B19D-4D60-8CAF-B9F8CDF7162C}">
      <text>
        <r>
          <rPr>
            <b/>
            <sz val="9"/>
            <color indexed="81"/>
            <rFont val="Tahoma"/>
            <family val="2"/>
          </rPr>
          <t>Crystal Collins:</t>
        </r>
        <r>
          <rPr>
            <sz val="9"/>
            <color indexed="81"/>
            <rFont val="Tahoma"/>
            <family val="2"/>
          </rPr>
          <t xml:space="preserve">
</t>
        </r>
        <r>
          <rPr>
            <b/>
            <sz val="9"/>
            <color indexed="81"/>
            <rFont val="Tahoma"/>
            <family val="2"/>
          </rPr>
          <t xml:space="preserve">
Legislative Budget pg. 96 Section 56, Item 1 #8
</t>
        </r>
        <r>
          <rPr>
            <sz val="9"/>
            <color indexed="81"/>
            <rFont val="Tahoma"/>
            <family val="2"/>
          </rPr>
          <t>$1,000,000 to provide recurring funding for administration legislation relative to the East Tennessee State University nursing program. (B-28) 
Identified as Miscellaneous Appropriations in the Governor's Budget and not corrected in the Administration Amendment. Included in the final work program.</t>
        </r>
      </text>
    </comment>
    <comment ref="J8" authorId="0" shapeId="0" xr:uid="{B60FA932-45BC-41CA-AF00-DC3918563F80}">
      <text>
        <r>
          <rPr>
            <b/>
            <sz val="9"/>
            <color indexed="81"/>
            <rFont val="Tahoma"/>
            <family val="2"/>
          </rPr>
          <t>Crystal Collins:</t>
        </r>
        <r>
          <rPr>
            <sz val="9"/>
            <color indexed="81"/>
            <rFont val="Tahoma"/>
            <family val="2"/>
          </rPr>
          <t xml:space="preserve">
$1,000,000 - ETSU BlueSky TN Institute. Admin Amendment 63.
</t>
        </r>
        <r>
          <rPr>
            <b/>
            <sz val="9"/>
            <color indexed="81"/>
            <rFont val="Tahoma"/>
            <family val="2"/>
          </rPr>
          <t>Legislative Budget Section 55. Item 1 #50; pg 92</t>
        </r>
      </text>
    </comment>
    <comment ref="J9" authorId="0" shapeId="0" xr:uid="{FC3D8DB7-351B-4E19-BB63-F1F709BBFFCB}">
      <text>
        <r>
          <rPr>
            <b/>
            <sz val="9"/>
            <color indexed="81"/>
            <rFont val="Tahoma"/>
            <family val="2"/>
          </rPr>
          <t>Crystal Collins:</t>
        </r>
        <r>
          <rPr>
            <sz val="9"/>
            <color indexed="81"/>
            <rFont val="Tahoma"/>
            <family val="2"/>
          </rPr>
          <t xml:space="preserve">
$2,000,000 - To provide non-recurring funding for financial aid for students in the medical education program administered by Middle Tennessee State University and Meharry Medical College. (B-104)
$5,000,000 - To be used solely for expenses for relocating MTSU flight operations to the Shelbyville airport.
</t>
        </r>
        <r>
          <rPr>
            <b/>
            <sz val="9"/>
            <color indexed="81"/>
            <rFont val="Tahoma"/>
            <family val="2"/>
          </rPr>
          <t>Legislative Budget pg. 104 Section 61 Item #41</t>
        </r>
      </text>
    </comment>
    <comment ref="I11" authorId="0" shapeId="0" xr:uid="{ED47008B-18D1-4289-838B-7FB78FD83A5A}">
      <text>
        <r>
          <rPr>
            <b/>
            <sz val="9"/>
            <color indexed="81"/>
            <rFont val="Tahoma"/>
            <family val="2"/>
          </rPr>
          <t>Crystal Collins:</t>
        </r>
        <r>
          <rPr>
            <sz val="9"/>
            <color indexed="81"/>
            <rFont val="Tahoma"/>
            <family val="2"/>
          </rPr>
          <t xml:space="preserve">
$3,500,000 - Wind Tunnel and Supercomputer.
Administration Amendment 65.
</t>
        </r>
        <r>
          <rPr>
            <b/>
            <sz val="9"/>
            <color indexed="81"/>
            <rFont val="Tahoma"/>
            <family val="2"/>
          </rPr>
          <t>Legislative Budget pg. 92, Section 55 Item 1 #55</t>
        </r>
      </text>
    </comment>
    <comment ref="J11" authorId="0" shapeId="0" xr:uid="{1EF15B42-5359-420B-921F-FE98AD42E4FA}">
      <text>
        <r>
          <rPr>
            <b/>
            <sz val="9"/>
            <color indexed="81"/>
            <rFont val="Tahoma"/>
            <family val="2"/>
          </rPr>
          <t>Crystal Collins:</t>
        </r>
        <r>
          <rPr>
            <sz val="9"/>
            <color indexed="81"/>
            <rFont val="Tahoma"/>
            <family val="2"/>
          </rPr>
          <t xml:space="preserve">
$1,200,000 - To provide non-recurring funding to support the Cybersecurity Education, Research and Outreach Center. (B-105)
$1,000,000 - To provide non-recurring funding to support the Rural Reimagined program through the use of technology and service learning in rural communities. (B-105)
$2,840,000 - To provide non-recurring funding to support the Evins Appalachian Center for Craft. (B-105)</t>
        </r>
      </text>
    </comment>
    <comment ref="J12" authorId="0" shapeId="0" xr:uid="{115E63D0-E505-45D0-B33A-A014C048D91F}">
      <text>
        <r>
          <rPr>
            <b/>
            <sz val="9"/>
            <color indexed="81"/>
            <rFont val="Tahoma"/>
            <family val="2"/>
          </rPr>
          <t>Crystal Collins:</t>
        </r>
        <r>
          <rPr>
            <sz val="9"/>
            <color indexed="81"/>
            <rFont val="Tahoma"/>
            <family val="2"/>
          </rPr>
          <t xml:space="preserve">
To provide non-recurring funding to the University of Memphis for being designated as a Carnegie R1 university. (B-104)
</t>
        </r>
        <r>
          <rPr>
            <b/>
            <sz val="9"/>
            <color indexed="81"/>
            <rFont val="Tahoma"/>
            <family val="2"/>
          </rPr>
          <t>Legislative Budget pg 32 Section 7 Item 59</t>
        </r>
        <r>
          <rPr>
            <sz val="9"/>
            <color indexed="81"/>
            <rFont val="Tahoma"/>
            <family val="2"/>
          </rPr>
          <t xml:space="preserve">
 Section 1, Title III-10, Item 4.3c, an amount of
$50,000,000 (non-recurring) for the university being designated as a Carnegie Classification R1 university, shall be subject to conflict of interest and disclosure requirements imposed by the State.</t>
        </r>
      </text>
    </comment>
    <comment ref="J16" authorId="0" shapeId="0" xr:uid="{984401E5-813B-4936-A070-6936DF70111C}">
      <text>
        <r>
          <rPr>
            <b/>
            <sz val="9"/>
            <color indexed="81"/>
            <rFont val="Tahoma"/>
            <family val="2"/>
          </rPr>
          <t>Crystal Collins:</t>
        </r>
        <r>
          <rPr>
            <sz val="9"/>
            <color indexed="81"/>
            <rFont val="Tahoma"/>
            <family val="2"/>
          </rPr>
          <t xml:space="preserve">
Minority Engineering Scholarships 
</t>
        </r>
        <r>
          <rPr>
            <b/>
            <sz val="9"/>
            <color indexed="81"/>
            <rFont val="Tahoma"/>
            <family val="2"/>
          </rPr>
          <t xml:space="preserve">Legislative Budget pg 92 Section 55. Item 1 #52 
</t>
        </r>
        <r>
          <rPr>
            <sz val="9"/>
            <color indexed="81"/>
            <rFont val="Tahoma"/>
            <family val="2"/>
          </rPr>
          <t>It is the legislative intent that the appropriations in this item to the University of Tennessee at Knoxville and University of Tennessee at Chattanooga for minority engineering scholarships shall be expended for scholarships for freshmen to complete a degree in engineering. Such scholarship shall continue to be available to such student as the student progresses towards degree completion.</t>
        </r>
      </text>
    </comment>
    <comment ref="C17" authorId="0" shapeId="0" xr:uid="{480CCD8C-45F1-4331-AA42-64CC4633F5B5}">
      <text>
        <r>
          <rPr>
            <b/>
            <sz val="9"/>
            <color indexed="81"/>
            <rFont val="Tahoma"/>
            <family val="2"/>
          </rPr>
          <t>Crystal Collins:</t>
        </r>
        <r>
          <rPr>
            <sz val="9"/>
            <color indexed="81"/>
            <rFont val="Tahoma"/>
            <family val="2"/>
          </rPr>
          <t xml:space="preserve">
Includes $698,700 in reorganization funding for the UT Press from UT Administration.
Base budget adjustment included in original Governor's budget.</t>
        </r>
      </text>
    </comment>
    <comment ref="I17" authorId="0" shapeId="0" xr:uid="{CFB41FF5-CC11-40A1-8D5C-20E405107D5A}">
      <text>
        <r>
          <rPr>
            <b/>
            <sz val="9"/>
            <color indexed="81"/>
            <rFont val="Tahoma"/>
            <family val="2"/>
          </rPr>
          <t>Crystal Collins:</t>
        </r>
        <r>
          <rPr>
            <sz val="9"/>
            <color indexed="81"/>
            <rFont val="Tahoma"/>
            <family val="2"/>
          </rPr>
          <t xml:space="preserve">
$3,968,200 - Reorganization of American Civics from UT Administration to UTK, less $31,800 in administrative costs that stay at UT Admin.</t>
        </r>
      </text>
    </comment>
    <comment ref="J17" authorId="0" shapeId="0" xr:uid="{DD0BA169-158C-48BB-A596-6C20F3654C16}">
      <text>
        <r>
          <rPr>
            <b/>
            <sz val="9"/>
            <color indexed="81"/>
            <rFont val="Tahoma"/>
            <family val="2"/>
          </rPr>
          <t>Crystal Collins:</t>
        </r>
        <r>
          <rPr>
            <sz val="9"/>
            <color indexed="81"/>
            <rFont val="Tahoma"/>
            <family val="2"/>
          </rPr>
          <t xml:space="preserve">
$500,000 - Minority Engineering Scholarships 
</t>
        </r>
        <r>
          <rPr>
            <b/>
            <sz val="9"/>
            <color indexed="81"/>
            <rFont val="Tahoma"/>
            <family val="2"/>
          </rPr>
          <t xml:space="preserve">Legislative Budget pg 92 Section 55. Item 1 #52
</t>
        </r>
        <r>
          <rPr>
            <sz val="9"/>
            <color indexed="81"/>
            <rFont val="Tahoma"/>
            <family val="2"/>
          </rPr>
          <t xml:space="preserve">It is the legislative intent that the appropriations in this item to the University of Tennessee at Knoxville and University of Tennessee at Chattanooga for minority engineering scholarships shall be expended for scholarships for freshmen to complete a degree in engineering. Such scholarship shall continue to be available to such student as the student progresses towards degree completion.
$2,000,000 - Reorganization of American Civics from UT Administration to UTK.
</t>
        </r>
      </text>
    </comment>
    <comment ref="I25" authorId="0" shapeId="0" xr:uid="{0E55F222-C215-48B3-99A7-0D490D88B94C}">
      <text>
        <r>
          <rPr>
            <b/>
            <sz val="9"/>
            <color indexed="81"/>
            <rFont val="Tahoma"/>
            <family val="2"/>
          </rPr>
          <t>Crystal Collins:</t>
        </r>
        <r>
          <rPr>
            <sz val="9"/>
            <color indexed="81"/>
            <rFont val="Tahoma"/>
            <family val="2"/>
          </rPr>
          <t xml:space="preserve">
$8,000,000 - To provide recurring funding for year two of the TCAT Waitlist Initiative, which aims to reduce the waitlist for programs by increasing faculty and upgrading facilities. (B-100)
$225,000 - Administration Amendment - TCAT Morristown Truck Driving School. Admin Amendment 64. 
</t>
        </r>
        <r>
          <rPr>
            <b/>
            <sz val="9"/>
            <color indexed="81"/>
            <rFont val="Tahoma"/>
            <family val="2"/>
          </rPr>
          <t>Legislative Budget pg. 92, Item #53</t>
        </r>
      </text>
    </comment>
    <comment ref="J25" authorId="0" shapeId="0" xr:uid="{0391BD31-6718-4D89-B862-3AAD78AAEC2C}">
      <text>
        <r>
          <rPr>
            <b/>
            <sz val="9"/>
            <color indexed="81"/>
            <rFont val="Tahoma"/>
            <family val="2"/>
          </rPr>
          <t>Crystal Collins:</t>
        </r>
        <r>
          <rPr>
            <sz val="9"/>
            <color indexed="81"/>
            <rFont val="Tahoma"/>
            <family val="2"/>
          </rPr>
          <t xml:space="preserve">
To provide nonrecurring funding for year two of the TCAT Waitlist Initiative, which aims to reduce the waitlist for programs by increasing faculty and upgrading facilities. (B-100)</t>
        </r>
      </text>
    </comment>
    <comment ref="K25" authorId="0" shapeId="0" xr:uid="{5A01B710-2BE3-4BE8-A159-7E1EF57E00A3}">
      <text>
        <r>
          <rPr>
            <b/>
            <sz val="9"/>
            <color indexed="81"/>
            <rFont val="Tahoma"/>
            <family val="2"/>
          </rPr>
          <t>Crystal Collins:</t>
        </r>
        <r>
          <rPr>
            <sz val="9"/>
            <color indexed="81"/>
            <rFont val="Tahoma"/>
            <family val="2"/>
          </rPr>
          <t xml:space="preserve">
$375,000 - Administration Amendment - TCAT Morristown Truck Driving School. Admin Amendment 64. 
</t>
        </r>
        <r>
          <rPr>
            <b/>
            <sz val="9"/>
            <color indexed="81"/>
            <rFont val="Tahoma"/>
            <family val="2"/>
          </rPr>
          <t xml:space="preserve">
Legislative Budget pg. 92, Item #53</t>
        </r>
        <r>
          <rPr>
            <sz val="9"/>
            <color indexed="81"/>
            <rFont val="Tahoma"/>
            <family val="2"/>
          </rPr>
          <t xml:space="preserve">
$785,500 - Enhanced 401K match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Crystal Collins</author>
    <author>Russell VanZomeren</author>
  </authors>
  <commentList>
    <comment ref="I9" authorId="0" shapeId="0" xr:uid="{EE4719B1-A22A-4CF1-A5F0-30B66A803EED}">
      <text>
        <r>
          <rPr>
            <b/>
            <sz val="9"/>
            <color indexed="81"/>
            <rFont val="Tahoma"/>
            <family val="2"/>
          </rPr>
          <t>Crystal Collins:</t>
        </r>
        <r>
          <rPr>
            <sz val="9"/>
            <color indexed="81"/>
            <rFont val="Tahoma"/>
            <family val="2"/>
          </rPr>
          <t xml:space="preserve">
$2,900,000 - Legislative Budget Section 55. Item 1 #5; pg 91
Faculty Recruitment and Retention</t>
        </r>
      </text>
    </comment>
    <comment ref="J23" authorId="0" shapeId="0" xr:uid="{DEA9363B-58B7-4A83-B3BE-3AA507D1D74A}">
      <text>
        <r>
          <rPr>
            <b/>
            <sz val="9"/>
            <color indexed="81"/>
            <rFont val="Tahoma"/>
            <family val="2"/>
          </rPr>
          <t>Crystal Collins:</t>
        </r>
        <r>
          <rPr>
            <sz val="9"/>
            <color indexed="81"/>
            <rFont val="Tahoma"/>
            <family val="2"/>
          </rPr>
          <t xml:space="preserve">
Item 37. In addition to any other funds appropriated by the provisions of this act, there is appropriated the sum of $500,000 (nonrecurring) to the University of Tennessee Institute for Public Service (IPS) Law Enforcement Innovation Center (LEIC) for the sole purpose of funding the DARRT Initiative that will deliver training courses to the LEAs located in fifteen (15) distressed counties, twenty-nine (29) at-risk counties, and other underserved counties.
</t>
        </r>
        <r>
          <rPr>
            <b/>
            <sz val="9"/>
            <color indexed="81"/>
            <rFont val="Tahoma"/>
            <family val="2"/>
          </rPr>
          <t xml:space="preserve">
Legislative Budget pg. 103 Section 61, Item #37</t>
        </r>
      </text>
    </comment>
    <comment ref="C30" authorId="0" shapeId="0" xr:uid="{5372FF7D-2F2F-423B-B27C-AFE2C87605C3}">
      <text>
        <r>
          <rPr>
            <b/>
            <sz val="9"/>
            <color indexed="81"/>
            <rFont val="Tahoma"/>
            <family val="2"/>
          </rPr>
          <t>Crystal Collins:</t>
        </r>
        <r>
          <rPr>
            <sz val="9"/>
            <color indexed="81"/>
            <rFont val="Tahoma"/>
            <family val="2"/>
          </rPr>
          <t xml:space="preserve">
Reorganization funding for the UT Press from UT Administration to UT Knoxville.
Base budget adjustment included in original Governor's budget.</t>
        </r>
      </text>
    </comment>
    <comment ref="I30" authorId="0" shapeId="0" xr:uid="{6B491751-1DB0-4E9B-B4FF-8C2773573DB4}">
      <text>
        <r>
          <rPr>
            <b/>
            <sz val="9"/>
            <color indexed="81"/>
            <rFont val="Tahoma"/>
            <family val="2"/>
          </rPr>
          <t>Crystal Collins:</t>
        </r>
        <r>
          <rPr>
            <sz val="9"/>
            <color indexed="81"/>
            <rFont val="Tahoma"/>
            <family val="2"/>
          </rPr>
          <t xml:space="preserve">
$4,000,000 - Reorg of American Civics from THEC to UT. Admin. Admin Amendment 27.
</t>
        </r>
        <r>
          <rPr>
            <b/>
            <sz val="9"/>
            <color indexed="81"/>
            <rFont val="Tahoma"/>
            <family val="2"/>
          </rPr>
          <t>Legislative Budget pg. 95, Item #124</t>
        </r>
        <r>
          <rPr>
            <sz val="9"/>
            <color indexed="81"/>
            <rFont val="Tahoma"/>
            <family val="2"/>
          </rPr>
          <t xml:space="preserve">
(-$31,500) - Reduction in expenditures due to the fiscal note associated with the chartering legislation SB2410. Admin Amendment 11.9.
SB2410/HB2157 - Higher Education - American Civics - Fiscal Note Reconciliation
</t>
        </r>
        <r>
          <rPr>
            <b/>
            <sz val="9"/>
            <color indexed="81"/>
            <rFont val="Tahoma"/>
            <family val="2"/>
          </rPr>
          <t>Legislative Budget pg. 96</t>
        </r>
        <r>
          <rPr>
            <sz val="9"/>
            <color indexed="81"/>
            <rFont val="Tahoma"/>
            <family val="2"/>
          </rPr>
          <t xml:space="preserve">
(-$3,968,200) - Reorganization American Civics from UT Administration to UTK.</t>
        </r>
      </text>
    </comment>
    <comment ref="J30" authorId="0" shapeId="0" xr:uid="{FFA7B4E3-A023-48CD-82F4-540FFE6B3EC4}">
      <text>
        <r>
          <rPr>
            <b/>
            <sz val="9"/>
            <color indexed="81"/>
            <rFont val="Tahoma"/>
            <family val="2"/>
          </rPr>
          <t>Crystal Collins:</t>
        </r>
        <r>
          <rPr>
            <sz val="9"/>
            <color indexed="81"/>
            <rFont val="Tahoma"/>
            <family val="2"/>
          </rPr>
          <t xml:space="preserve">
$2,000,000 - Reorg of American Civics from THEC to UT Admin. Admin Amendment 27.
</t>
        </r>
        <r>
          <rPr>
            <b/>
            <sz val="9"/>
            <color indexed="81"/>
            <rFont val="Tahoma"/>
            <family val="2"/>
          </rPr>
          <t>Legislative Budget pg. 95, Item #124</t>
        </r>
        <r>
          <rPr>
            <sz val="9"/>
            <color indexed="81"/>
            <rFont val="Tahoma"/>
            <family val="2"/>
          </rPr>
          <t xml:space="preserve">
$1,000,000 - Minority Engineering Scholarships to UTK and UTC. Administration Amendment 62.
(-$1,000,000) - Reorganization of Minority Engineering Scholarships to UTK ($500,000) and UTC ($500,000). 
</t>
        </r>
        <r>
          <rPr>
            <b/>
            <sz val="9"/>
            <color indexed="81"/>
            <rFont val="Tahoma"/>
            <family val="2"/>
          </rPr>
          <t xml:space="preserve">Legislative Budget pg. 92 Section 55. Item 1  #51 &amp; #52
</t>
        </r>
        <r>
          <rPr>
            <sz val="9"/>
            <color indexed="81"/>
            <rFont val="Tahoma"/>
            <family val="2"/>
          </rPr>
          <t>(-$2,000,000) - Reorganization American Civics from UT Admin to UTK.
$72,000,000 - Oak Ridge Institute (miscellaneous in the original Governor's Budget)</t>
        </r>
      </text>
    </comment>
    <comment ref="C31" authorId="0" shapeId="0" xr:uid="{664227A9-5891-45F5-AAB8-B317D48D6856}">
      <text>
        <r>
          <rPr>
            <b/>
            <sz val="9"/>
            <color indexed="81"/>
            <rFont val="Tahoma"/>
            <family val="2"/>
          </rPr>
          <t>Crystal Collins:</t>
        </r>
        <r>
          <rPr>
            <sz val="9"/>
            <color indexed="81"/>
            <rFont val="Tahoma"/>
            <family val="2"/>
          </rPr>
          <t xml:space="preserve">
Reorganization of SAILS from THEC Grants to TBR Administration.
Base budget adjustment included in original Governor's budget.</t>
        </r>
      </text>
    </comment>
    <comment ref="I31" authorId="0" shapeId="0" xr:uid="{53C84663-64A6-47D3-83C2-430010A7C584}">
      <text>
        <r>
          <rPr>
            <b/>
            <sz val="9"/>
            <color indexed="81"/>
            <rFont val="Tahoma"/>
            <family val="2"/>
          </rPr>
          <t>Crystal Collins:</t>
        </r>
        <r>
          <rPr>
            <sz val="9"/>
            <color indexed="81"/>
            <rFont val="Tahoma"/>
            <family val="2"/>
          </rPr>
          <t xml:space="preserve">
</t>
        </r>
        <r>
          <rPr>
            <b/>
            <i/>
            <sz val="9"/>
            <color indexed="81"/>
            <rFont val="Tahoma"/>
            <family val="2"/>
          </rPr>
          <t>$1,770,000</t>
        </r>
        <r>
          <rPr>
            <sz val="9"/>
            <color indexed="81"/>
            <rFont val="Tahoma"/>
            <family val="2"/>
          </rPr>
          <t xml:space="preserve"> - To provide recurring funding for the expansion of CDL courses across the state. Funding will support additional faculty, equipment, and marketing of the program. (B-100)
</t>
        </r>
        <r>
          <rPr>
            <b/>
            <i/>
            <sz val="9"/>
            <color indexed="81"/>
            <rFont val="Tahoma"/>
            <family val="2"/>
          </rPr>
          <t>$5,026,000</t>
        </r>
        <r>
          <rPr>
            <sz val="9"/>
            <color indexed="81"/>
            <rFont val="Tahoma"/>
            <family val="2"/>
          </rPr>
          <t xml:space="preserve"> - To provide recurring funding to expand the partnership with Corrections Institute for Correctional Officer training programs. (B-100)
</t>
        </r>
        <r>
          <rPr>
            <b/>
            <i/>
            <sz val="9"/>
            <color indexed="81"/>
            <rFont val="Tahoma"/>
            <family val="2"/>
          </rPr>
          <t>$1,451,000</t>
        </r>
        <r>
          <rPr>
            <sz val="9"/>
            <color indexed="81"/>
            <rFont val="Tahoma"/>
            <family val="2"/>
          </rPr>
          <t xml:space="preserve"> - To provide recurring funding to the Tennessee Board of Regents (TBR) for increased enrollment in the Correctional Education Investment initiative. (B-100)
</t>
        </r>
        <r>
          <rPr>
            <b/>
            <i/>
            <sz val="9"/>
            <color indexed="81"/>
            <rFont val="Tahoma"/>
            <family val="2"/>
          </rPr>
          <t xml:space="preserve">
$170,000</t>
        </r>
        <r>
          <rPr>
            <sz val="9"/>
            <color indexed="81"/>
            <rFont val="Tahoma"/>
            <family val="2"/>
          </rPr>
          <t xml:space="preserve"> - To provide recurring funding to establish one position to manage capital projects. (B-105)
</t>
        </r>
        <r>
          <rPr>
            <b/>
            <i/>
            <sz val="9"/>
            <color indexed="81"/>
            <rFont val="Tahoma"/>
            <family val="2"/>
          </rPr>
          <t>$200,000</t>
        </r>
        <r>
          <rPr>
            <sz val="9"/>
            <color indexed="81"/>
            <rFont val="Tahoma"/>
            <family val="2"/>
          </rPr>
          <t xml:space="preserve"> - Administration Amendment - Mechatronics Consortium. Admin Amendment 61.
</t>
        </r>
        <r>
          <rPr>
            <b/>
            <sz val="9"/>
            <color indexed="81"/>
            <rFont val="Tahoma"/>
            <family val="2"/>
          </rPr>
          <t xml:space="preserve"> Legislative Budget pg. 92, Item #54</t>
        </r>
        <r>
          <rPr>
            <sz val="9"/>
            <color indexed="81"/>
            <rFont val="Tahoma"/>
            <family val="2"/>
          </rPr>
          <t xml:space="preserve">
</t>
        </r>
        <r>
          <rPr>
            <b/>
            <i/>
            <sz val="9"/>
            <color indexed="81"/>
            <rFont val="Tahoma"/>
            <family val="2"/>
          </rPr>
          <t>$2,397,400</t>
        </r>
        <r>
          <rPr>
            <sz val="9"/>
            <color indexed="81"/>
            <rFont val="Tahoma"/>
            <family val="2"/>
          </rPr>
          <t xml:space="preserve"> - For the sole purpose of funding and hiring campus safety and security officers for the Tennessee College of Applied Technology (TCATs).
</t>
        </r>
        <r>
          <rPr>
            <b/>
            <sz val="9"/>
            <color indexed="81"/>
            <rFont val="Tahoma"/>
            <family val="2"/>
          </rPr>
          <t>Legislative Budget pg. 104, Item #51</t>
        </r>
      </text>
    </comment>
    <comment ref="J31" authorId="0" shapeId="0" xr:uid="{187A4EB8-3EEF-4A53-B850-3CF1B8D007C1}">
      <text>
        <r>
          <rPr>
            <b/>
            <sz val="9"/>
            <color indexed="81"/>
            <rFont val="Tahoma"/>
            <family val="2"/>
          </rPr>
          <t>Crystal Collins:</t>
        </r>
        <r>
          <rPr>
            <sz val="9"/>
            <color indexed="81"/>
            <rFont val="Tahoma"/>
            <family val="2"/>
          </rPr>
          <t xml:space="preserve">
</t>
        </r>
        <r>
          <rPr>
            <b/>
            <i/>
            <sz val="9"/>
            <color indexed="81"/>
            <rFont val="Tahoma"/>
            <family val="2"/>
          </rPr>
          <t xml:space="preserve">$8,025,000 </t>
        </r>
        <r>
          <rPr>
            <sz val="9"/>
            <color indexed="81"/>
            <rFont val="Tahoma"/>
            <family val="2"/>
          </rPr>
          <t xml:space="preserve">- To provide non-recurring funding for the expansion of CDL courses across the state. Funding will support additional faculty, equipment, and marketing of the program. (B-100)
</t>
        </r>
        <r>
          <rPr>
            <b/>
            <sz val="9"/>
            <color indexed="81"/>
            <rFont val="Tahoma"/>
            <family val="2"/>
          </rPr>
          <t>Legislative Budget pg. 95, Item #128</t>
        </r>
        <r>
          <rPr>
            <sz val="9"/>
            <color indexed="81"/>
            <rFont val="Tahoma"/>
            <family val="2"/>
          </rPr>
          <t xml:space="preserve">
</t>
        </r>
        <r>
          <rPr>
            <b/>
            <i/>
            <sz val="9"/>
            <color indexed="81"/>
            <rFont val="Tahoma"/>
            <family val="2"/>
          </rPr>
          <t>$1,242,000</t>
        </r>
        <r>
          <rPr>
            <sz val="9"/>
            <color indexed="81"/>
            <rFont val="Tahoma"/>
            <family val="2"/>
          </rPr>
          <t xml:space="preserve"> - For the sole purpose of funding and hiring campus safety and security officers for the Tennessee College of Applied Technology (TCATs).
</t>
        </r>
        <r>
          <rPr>
            <b/>
            <sz val="9"/>
            <color indexed="81"/>
            <rFont val="Tahoma"/>
            <family val="2"/>
          </rPr>
          <t xml:space="preserve">Legislative Budget pg. 104, Item #51
CHANGES:
</t>
        </r>
        <r>
          <rPr>
            <b/>
            <i/>
            <sz val="9"/>
            <color indexed="81"/>
            <rFont val="Tahoma"/>
            <family val="2"/>
          </rPr>
          <t>$200,000,000</t>
        </r>
        <r>
          <rPr>
            <sz val="9"/>
            <color indexed="81"/>
            <rFont val="Tahoma"/>
            <family val="2"/>
          </rPr>
          <t xml:space="preserve"> - To provide non-recurring funding for equipment and facilities upgrades to support Career and Technical Education programs within the Tennessee Board of Regents. (B-100)
</t>
        </r>
        <r>
          <rPr>
            <b/>
            <i/>
            <sz val="9"/>
            <color indexed="81"/>
            <rFont val="Tahoma"/>
            <family val="2"/>
          </rPr>
          <t>(-$200,000,000)</t>
        </r>
        <r>
          <rPr>
            <sz val="9"/>
            <color indexed="81"/>
            <rFont val="Tahoma"/>
            <family val="2"/>
          </rPr>
          <t xml:space="preserve"> - Reorganization of Careeer and Technival Education Grants to Capital Outlay. Admin Amendment 28.
</t>
        </r>
      </text>
    </comment>
    <comment ref="L33" authorId="0" shapeId="0" xr:uid="{3F979021-0DE3-4BB1-B655-4BDDABAF6380}">
      <text>
        <r>
          <rPr>
            <b/>
            <sz val="9"/>
            <color indexed="81"/>
            <rFont val="Tahoma"/>
            <family val="2"/>
          </rPr>
          <t>Crystal Collins:</t>
        </r>
        <r>
          <rPr>
            <sz val="9"/>
            <color indexed="81"/>
            <rFont val="Tahoma"/>
            <family val="2"/>
          </rPr>
          <t xml:space="preserve">
From the funds appropriated to the Tennessee Student Assistance Awards fund, there is hereby earmarked a sum sufficient for the sole purpose of implementing Senate Bill No. 1025 / House Bill No. 708, relative to the Senator Ben Atchley opportunity grant, if such bill becomes a law, the public welfare requiring it.
</t>
        </r>
        <r>
          <rPr>
            <b/>
            <sz val="9"/>
            <color indexed="81"/>
            <rFont val="Tahoma"/>
            <family val="2"/>
          </rPr>
          <t>Legislative Budget pg. 97 Section 56, Item #3</t>
        </r>
      </text>
    </comment>
    <comment ref="C34" authorId="0" shapeId="0" xr:uid="{C4D1A898-CB4B-4E32-B639-C629AB58F3D4}">
      <text>
        <r>
          <rPr>
            <b/>
            <sz val="9"/>
            <color indexed="81"/>
            <rFont val="Tahoma"/>
            <family val="2"/>
          </rPr>
          <t>Crystal Collins:</t>
        </r>
        <r>
          <rPr>
            <sz val="9"/>
            <color indexed="81"/>
            <rFont val="Tahoma"/>
            <family val="2"/>
          </rPr>
          <t xml:space="preserve">
Salary Market Adjustment.</t>
        </r>
      </text>
    </comment>
    <comment ref="K34" authorId="0" shapeId="0" xr:uid="{CDCC656B-25D3-498C-86D6-3566A1A39ECE}">
      <text>
        <r>
          <rPr>
            <b/>
            <sz val="9"/>
            <color indexed="81"/>
            <rFont val="Tahoma"/>
            <family val="2"/>
          </rPr>
          <t>Crystal Collins:</t>
        </r>
        <r>
          <rPr>
            <sz val="9"/>
            <color indexed="81"/>
            <rFont val="Tahoma"/>
            <family val="2"/>
          </rPr>
          <t xml:space="preserve">
401(k) Enhanced Match Adjustment - $12,800</t>
        </r>
      </text>
    </comment>
    <comment ref="I35" authorId="0" shapeId="0" xr:uid="{55CD8BAA-D13D-4411-A68C-7C1A92D12C1B}">
      <text>
        <r>
          <rPr>
            <b/>
            <sz val="9"/>
            <color indexed="81"/>
            <rFont val="Tahoma"/>
            <charset val="1"/>
          </rPr>
          <t>Crystal Collins:</t>
        </r>
        <r>
          <rPr>
            <sz val="9"/>
            <color indexed="81"/>
            <rFont val="Tahoma"/>
            <charset val="1"/>
          </rPr>
          <t xml:space="preserve">
Fiscal note attached to the implementation of PC1107.</t>
        </r>
      </text>
    </comment>
    <comment ref="D37" authorId="0" shapeId="0" xr:uid="{17D73DFD-8FFA-4A38-ABE5-913AE51039A8}">
      <text>
        <r>
          <rPr>
            <b/>
            <sz val="9"/>
            <color indexed="81"/>
            <rFont val="Tahoma"/>
            <family val="2"/>
          </rPr>
          <t>Crystal Collins:</t>
        </r>
        <r>
          <rPr>
            <sz val="9"/>
            <color indexed="81"/>
            <rFont val="Tahoma"/>
            <family val="2"/>
          </rPr>
          <t xml:space="preserve">
$363,000 earmarked to Southern College of Optometry</t>
        </r>
      </text>
    </comment>
    <comment ref="C39" authorId="0" shapeId="0" xr:uid="{3CC17EB6-1642-4087-ABC1-D3F2E3F76C86}">
      <text>
        <r>
          <rPr>
            <b/>
            <sz val="9"/>
            <color indexed="81"/>
            <rFont val="Tahoma"/>
            <family val="2"/>
          </rPr>
          <t>Crystal Collins:</t>
        </r>
        <r>
          <rPr>
            <sz val="9"/>
            <color indexed="81"/>
            <rFont val="Tahoma"/>
            <family val="2"/>
          </rPr>
          <t xml:space="preserve">
Salary Market Adjustment.</t>
        </r>
      </text>
    </comment>
    <comment ref="H39" authorId="0" shapeId="0" xr:uid="{9E69B6DF-06E4-445C-8DA6-26A16294DE30}">
      <text>
        <r>
          <rPr>
            <b/>
            <sz val="9"/>
            <color indexed="81"/>
            <rFont val="Tahoma"/>
            <charset val="1"/>
          </rPr>
          <t>Crystal Collins:</t>
        </r>
        <r>
          <rPr>
            <sz val="9"/>
            <color indexed="81"/>
            <rFont val="Tahoma"/>
            <charset val="1"/>
          </rPr>
          <t xml:space="preserve">
Global adjustments reported in Final Work Program.</t>
        </r>
      </text>
    </comment>
    <comment ref="K39" authorId="0" shapeId="0" xr:uid="{0A9226D1-18A5-4D18-828C-8B606B224C7E}">
      <text>
        <r>
          <rPr>
            <b/>
            <sz val="9"/>
            <color indexed="81"/>
            <rFont val="Tahoma"/>
            <family val="2"/>
          </rPr>
          <t>Crystal Collins:</t>
        </r>
        <r>
          <rPr>
            <sz val="9"/>
            <color indexed="81"/>
            <rFont val="Tahoma"/>
            <family val="2"/>
          </rPr>
          <t xml:space="preserve">
401 (k) Enhanced Match</t>
        </r>
      </text>
    </comment>
    <comment ref="D40" authorId="0" shapeId="0" xr:uid="{00000000-0006-0000-0100-00000A000000}">
      <text>
        <r>
          <rPr>
            <b/>
            <sz val="9"/>
            <color indexed="81"/>
            <rFont val="Tahoma"/>
            <family val="2"/>
          </rPr>
          <t>Crystal Collins:</t>
        </r>
        <r>
          <rPr>
            <sz val="9"/>
            <color indexed="81"/>
            <rFont val="Tahoma"/>
            <family val="2"/>
          </rPr>
          <t xml:space="preserve">
Recurring funding for one full-time position related to college completion initiatives for minority students at public and private institutions.
Section 57, Item 1-17</t>
        </r>
      </text>
    </comment>
    <comment ref="D41" authorId="0" shapeId="0" xr:uid="{00000000-0006-0000-0100-00000B000000}">
      <text>
        <r>
          <rPr>
            <b/>
            <sz val="9"/>
            <color indexed="81"/>
            <rFont val="Tahoma"/>
            <family val="2"/>
          </rPr>
          <t>Crystal Collins:</t>
        </r>
        <r>
          <rPr>
            <sz val="9"/>
            <color indexed="81"/>
            <rFont val="Tahoma"/>
            <family val="2"/>
          </rPr>
          <t xml:space="preserve">
To provide recurring funds for a position to administer the Tennessee Reconnect program, which aims to help adults enter higher education so that they may gain new skills, advance in the workplace, and earn a degree or credential.</t>
        </r>
      </text>
    </comment>
    <comment ref="D42" authorId="0" shapeId="0" xr:uid="{00000000-0006-0000-0100-00000C000000}">
      <text>
        <r>
          <rPr>
            <b/>
            <sz val="9"/>
            <color indexed="81"/>
            <rFont val="Tahoma"/>
            <family val="2"/>
          </rPr>
          <t>Crystal Collins:</t>
        </r>
        <r>
          <rPr>
            <sz val="9"/>
            <color indexed="81"/>
            <rFont val="Tahoma"/>
            <family val="2"/>
          </rPr>
          <t xml:space="preserve">
To provide recurring funds for a position that will be responsible for coordinating the newly created capital project structure under the FOCUS Act.</t>
        </r>
      </text>
    </comment>
    <comment ref="D43" authorId="0" shapeId="0" xr:uid="{00000000-0006-0000-0100-00000D000000}">
      <text>
        <r>
          <rPr>
            <b/>
            <sz val="9"/>
            <color indexed="81"/>
            <rFont val="Tahoma"/>
            <family val="2"/>
          </rPr>
          <t>Crystal Collins:</t>
        </r>
        <r>
          <rPr>
            <sz val="9"/>
            <color indexed="81"/>
            <rFont val="Tahoma"/>
            <family val="2"/>
          </rPr>
          <t xml:space="preserve">
To provide funds for a position that will provide increased capacity to manage the daily operations of Drive to 55 and Tennessee Promise Initiatives.</t>
        </r>
      </text>
    </comment>
    <comment ref="D45" authorId="0" shapeId="0" xr:uid="{00000000-0006-0000-0100-00000E000000}">
      <text>
        <r>
          <rPr>
            <b/>
            <sz val="9"/>
            <color indexed="81"/>
            <rFont val="Tahoma"/>
            <family val="2"/>
          </rPr>
          <t>Crystal Collins:</t>
        </r>
        <r>
          <rPr>
            <sz val="9"/>
            <color indexed="81"/>
            <rFont val="Tahoma"/>
            <family val="2"/>
          </rPr>
          <t xml:space="preserve">
To provide funding for one-on-one assistance for students during the college admissions and financial aid application processes and throughout the transition from high school to higher education. Funding for 3 positions.</t>
        </r>
      </text>
    </comment>
    <comment ref="D46" authorId="0" shapeId="0" xr:uid="{00000000-0006-0000-0100-00000F000000}">
      <text>
        <r>
          <rPr>
            <b/>
            <sz val="9"/>
            <color indexed="81"/>
            <rFont val="Tahoma"/>
            <family val="2"/>
          </rPr>
          <t>Crystal Collins:</t>
        </r>
        <r>
          <rPr>
            <sz val="9"/>
            <color indexed="81"/>
            <rFont val="Tahoma"/>
            <family val="2"/>
          </rPr>
          <t xml:space="preserve">
To provide funding for positions that will provide administrative/fiscal oversight and leadership for the Adult Learner Program. The Adult Learner Program provides grants to institutions to locate and recruit adults with some college education but no degree to finish their degree.</t>
        </r>
      </text>
    </comment>
    <comment ref="D47" authorId="0" shapeId="0" xr:uid="{00000000-0006-0000-0100-000010000000}">
      <text>
        <r>
          <rPr>
            <b/>
            <sz val="9"/>
            <color indexed="81"/>
            <rFont val="Tahoma"/>
            <family val="2"/>
          </rPr>
          <t>Crystal Collins:</t>
        </r>
        <r>
          <rPr>
            <sz val="9"/>
            <color indexed="81"/>
            <rFont val="Tahoma"/>
            <family val="2"/>
          </rPr>
          <t xml:space="preserve">
To provide funding for a position that will provide coordination, adminstrative/fiscal oversight, and leadership for LEAPm which aims to eliminate skills gaps across the state in a proactive, data-driven, and coordinated manner by encouraging collaboration across education and industry.</t>
        </r>
      </text>
    </comment>
    <comment ref="D48" authorId="0" shapeId="0" xr:uid="{00000000-0006-0000-0100-000011000000}">
      <text>
        <r>
          <rPr>
            <b/>
            <sz val="9"/>
            <color indexed="81"/>
            <rFont val="Tahoma"/>
            <family val="2"/>
          </rPr>
          <t>Crystal Collins:</t>
        </r>
        <r>
          <rPr>
            <sz val="9"/>
            <color indexed="81"/>
            <rFont val="Tahoma"/>
            <family val="2"/>
          </rPr>
          <t xml:space="preserve">
To provide recurring funding for a position to administer fiscal affairs for the Tennessee Reconnect program.</t>
        </r>
      </text>
    </comment>
    <comment ref="D49" authorId="0" shapeId="0" xr:uid="{00000000-0006-0000-0100-000012000000}">
      <text>
        <r>
          <rPr>
            <b/>
            <sz val="9"/>
            <color indexed="81"/>
            <rFont val="Tahoma"/>
            <family val="2"/>
          </rPr>
          <t>Crystal Collins:</t>
        </r>
        <r>
          <rPr>
            <sz val="9"/>
            <color indexed="81"/>
            <rFont val="Tahoma"/>
            <family val="2"/>
          </rPr>
          <t xml:space="preserve">
To provide funding for personnel and equipment that will be utilized in the implementation of the Correctional Education Investment initiative. Recurring funding in the amount of $426,000 will be used for personnel. Non-recurring funding in the amount of $975,000 will be used for equipment.</t>
        </r>
      </text>
    </comment>
    <comment ref="I50" authorId="0" shapeId="0" xr:uid="{4C4A7577-E3B4-4CE3-96D2-9A501305F962}">
      <text>
        <r>
          <rPr>
            <b/>
            <sz val="9"/>
            <color indexed="81"/>
            <rFont val="Tahoma"/>
            <family val="2"/>
          </rPr>
          <t>Crystal Collins:</t>
        </r>
        <r>
          <rPr>
            <sz val="9"/>
            <color indexed="81"/>
            <rFont val="Tahoma"/>
            <family val="2"/>
          </rPr>
          <t xml:space="preserve">
$4,000,000 - To provide funding for adminstration legislation relative to higher education programming in American Civics. 
($4,000,000) - Reorg of American Civics to UT Administration (Admin Amendment 26)
</t>
        </r>
        <r>
          <rPr>
            <b/>
            <sz val="9"/>
            <color indexed="81"/>
            <rFont val="Tahoma"/>
            <family val="2"/>
          </rPr>
          <t>Legislative Budget pg. 95, Item #123</t>
        </r>
      </text>
    </comment>
    <comment ref="J50" authorId="0" shapeId="0" xr:uid="{4BADBB86-ABB8-4632-9A44-54E26AA2F1D5}">
      <text>
        <r>
          <rPr>
            <b/>
            <sz val="9"/>
            <color indexed="81"/>
            <rFont val="Tahoma"/>
            <family val="2"/>
          </rPr>
          <t>Crystal Collins:</t>
        </r>
        <r>
          <rPr>
            <sz val="9"/>
            <color indexed="81"/>
            <rFont val="Tahoma"/>
            <family val="2"/>
          </rPr>
          <t xml:space="preserve">
$2,000,000 - To provide funding for adminstration legislation relative to higher education programming in American Civics. 
($2,000,000) - Reorg of American Civics to UT Administration (Admin Amendment 26)
</t>
        </r>
        <r>
          <rPr>
            <b/>
            <sz val="9"/>
            <color indexed="81"/>
            <rFont val="Tahoma"/>
            <family val="2"/>
          </rPr>
          <t>Legislative Budget pg. 95, Item #123</t>
        </r>
      </text>
    </comment>
    <comment ref="I51" authorId="0" shapeId="0" xr:uid="{8A36CEC9-28D5-4EA7-8443-C09A531A4151}">
      <text>
        <r>
          <rPr>
            <b/>
            <sz val="9"/>
            <color indexed="81"/>
            <rFont val="Tahoma"/>
            <family val="2"/>
          </rPr>
          <t>Russell VanZomeren:</t>
        </r>
        <r>
          <rPr>
            <sz val="9"/>
            <color indexed="81"/>
            <rFont val="Tahoma"/>
            <family val="2"/>
          </rPr>
          <t xml:space="preserve">
To provide recurring funding to establish four re-entry navigators who identify resources and provide college navigation services to justice-involved individuals. Additionally, one position will be transferred to TBR to support the Correctional Education Investment initiative. (B-95)</t>
        </r>
      </text>
    </comment>
    <comment ref="B66" authorId="0" shapeId="0" xr:uid="{00000000-0006-0000-0100-000013000000}">
      <text>
        <r>
          <rPr>
            <b/>
            <sz val="9"/>
            <color indexed="81"/>
            <rFont val="Tahoma"/>
            <family val="2"/>
          </rPr>
          <t>Crystal Collins:</t>
        </r>
        <r>
          <rPr>
            <sz val="9"/>
            <color indexed="81"/>
            <rFont val="Tahoma"/>
            <family val="2"/>
          </rPr>
          <t xml:space="preserve">
Includes $1,000,000 for TN Reconnect Advisor Program Expansion through a reorg in 2015-16.</t>
        </r>
      </text>
    </comment>
    <comment ref="C66" authorId="0" shapeId="0" xr:uid="{26644B38-94BB-4C6C-A6AC-D76EAF7998AD}">
      <text>
        <r>
          <rPr>
            <b/>
            <sz val="9"/>
            <color indexed="81"/>
            <rFont val="Tahoma"/>
            <family val="2"/>
          </rPr>
          <t>Crystal Collins:</t>
        </r>
        <r>
          <rPr>
            <sz val="9"/>
            <color indexed="81"/>
            <rFont val="Tahoma"/>
            <family val="2"/>
          </rPr>
          <t xml:space="preserve">
Reorganization of SAILS from THEC Grants to TBR Administration. Residiual funds from SAILS of $125,000 transferred to Advise TN to meet financial need.
Base budget adjustment included in original Governor's budget.</t>
        </r>
      </text>
    </comment>
    <comment ref="C71" authorId="0" shapeId="0" xr:uid="{47FD69CD-7F10-4853-A7B7-E1756580673E}">
      <text>
        <r>
          <rPr>
            <b/>
            <sz val="9"/>
            <color indexed="81"/>
            <rFont val="Tahoma"/>
            <family val="2"/>
          </rPr>
          <t>Crystal Collins:</t>
        </r>
        <r>
          <rPr>
            <sz val="9"/>
            <color indexed="81"/>
            <rFont val="Tahoma"/>
            <family val="2"/>
          </rPr>
          <t xml:space="preserve">
Per email from Trish, this is residual funding from SAILS transferred to Advise TN to cover costs.
Email found here: "H:\Fiscal\Fiscal Policy\STAY_OUT\FY2023-24\Reports\2023 Budget Hearings\RE_ Budget Hearing Questions - House FWM_Advise TN Budget.pdf"</t>
        </r>
      </text>
    </comment>
    <comment ref="C72" authorId="0" shapeId="0" xr:uid="{C70D315B-7363-47D8-894C-DBF7392540E3}">
      <text>
        <r>
          <rPr>
            <b/>
            <sz val="9"/>
            <color indexed="81"/>
            <rFont val="Tahoma"/>
            <family val="2"/>
          </rPr>
          <t>Crystal Collins:</t>
        </r>
        <r>
          <rPr>
            <sz val="9"/>
            <color indexed="81"/>
            <rFont val="Tahoma"/>
            <family val="2"/>
          </rPr>
          <t xml:space="preserve">
Reorganization of SAILS from THEC Grants to TBR Administration.
Base budget adjustment included in original Governor's budget.</t>
        </r>
      </text>
    </comment>
    <comment ref="J74" authorId="0" shapeId="0" xr:uid="{0B249A60-0867-473B-AC0D-ABDDA4A675EC}">
      <text>
        <r>
          <rPr>
            <b/>
            <sz val="9"/>
            <color indexed="81"/>
            <rFont val="Tahoma"/>
            <family val="2"/>
          </rPr>
          <t>Crystal Collins:</t>
        </r>
        <r>
          <rPr>
            <sz val="9"/>
            <color indexed="81"/>
            <rFont val="Tahoma"/>
            <family val="2"/>
          </rPr>
          <t xml:space="preserve">
To provide non-recurring funding for the GIVE Community Grants, which aims to eliminate skills gaps across the state in a proactive, data-driven, and coordinated manner by encouraging collaboration across education and industry. (B-95)</t>
        </r>
      </text>
    </comment>
    <comment ref="J75" authorId="1" shapeId="0" xr:uid="{587DF10E-7BC8-49F0-A3D5-B4B668675BCC}">
      <text>
        <r>
          <rPr>
            <b/>
            <sz val="9"/>
            <color indexed="81"/>
            <rFont val="Tahoma"/>
            <family val="2"/>
          </rPr>
          <t>Russell VanZomeren:</t>
        </r>
        <r>
          <rPr>
            <sz val="9"/>
            <color indexed="81"/>
            <rFont val="Tahoma"/>
            <family val="2"/>
          </rPr>
          <t xml:space="preserve">
To provide non-recurring funding for Supporting Postsecondary Access in Rural Communities (SPARC) micro grants for the purchase of CTE equipment. (B-95)
</t>
        </r>
      </text>
    </comment>
    <comment ref="C76" authorId="0" shapeId="0" xr:uid="{93855B4B-C74D-4946-ABFD-5DFB02B5D0D9}">
      <text>
        <r>
          <rPr>
            <b/>
            <sz val="9"/>
            <color indexed="81"/>
            <rFont val="Tahoma"/>
            <family val="2"/>
          </rPr>
          <t>Crystal Collins:</t>
        </r>
        <r>
          <rPr>
            <sz val="9"/>
            <color indexed="81"/>
            <rFont val="Tahoma"/>
            <family val="2"/>
          </rPr>
          <t xml:space="preserve">
$3,500,000 - Administration Amendment - Delete Portion of Graduate Medical Education Base Funding. Administration Amendment 29.
</t>
        </r>
        <r>
          <rPr>
            <b/>
            <sz val="9"/>
            <color indexed="81"/>
            <rFont val="Tahoma"/>
            <family val="2"/>
          </rPr>
          <t>Legislative Budget pg. 97 Item #5</t>
        </r>
      </text>
    </comment>
    <comment ref="I76" authorId="0" shapeId="0" xr:uid="{DB202E1D-F9E8-4300-A53A-DFAD0976651E}">
      <text>
        <r>
          <rPr>
            <b/>
            <sz val="9"/>
            <color indexed="81"/>
            <rFont val="Tahoma"/>
            <family val="2"/>
          </rPr>
          <t>Crystal Collins:</t>
        </r>
        <r>
          <rPr>
            <sz val="9"/>
            <color indexed="81"/>
            <rFont val="Tahoma"/>
            <family val="2"/>
          </rPr>
          <t xml:space="preserve">
$18,600,000 - To provide recurring funding to expand the graduate medical education program. (B-95)
(-$18,600,000) - Reorganize Graduate Medical Education to TennCare. Admin Amendment 30.
</t>
        </r>
        <r>
          <rPr>
            <b/>
            <sz val="9"/>
            <color indexed="81"/>
            <rFont val="Tahoma"/>
            <family val="2"/>
          </rPr>
          <t>Legislative Budget pg. 95, Item #125</t>
        </r>
        <r>
          <rPr>
            <sz val="9"/>
            <color indexed="81"/>
            <rFont val="Tahoma"/>
            <family val="2"/>
          </rPr>
          <t xml:space="preserve">
Additionally, this amount will be reduced from $18.6M to $10M at TennCare.</t>
        </r>
      </text>
    </comment>
    <comment ref="J77" authorId="1" shapeId="0" xr:uid="{FC088753-2013-4445-AAAE-176632040408}">
      <text>
        <r>
          <rPr>
            <b/>
            <sz val="9"/>
            <color indexed="81"/>
            <rFont val="Tahoma"/>
            <family val="2"/>
          </rPr>
          <t>Russell VanZomeren:</t>
        </r>
        <r>
          <rPr>
            <sz val="9"/>
            <color indexed="81"/>
            <rFont val="Tahoma"/>
            <family val="2"/>
          </rPr>
          <t xml:space="preserve">
To provided non-recurring funding for a  five-year pilot program to expand proactive college coaching and completion in the Knox Promise Initiative of tnAchieves. (B-96)</t>
        </r>
      </text>
    </comment>
    <comment ref="I86" authorId="1" shapeId="0" xr:uid="{97F4671C-C2E7-4D30-966E-8F93E7B99EBC}">
      <text>
        <r>
          <rPr>
            <b/>
            <sz val="9"/>
            <color indexed="81"/>
            <rFont val="Tahoma"/>
            <family val="2"/>
          </rPr>
          <t>Russell VanZomeren:</t>
        </r>
        <r>
          <rPr>
            <sz val="9"/>
            <color indexed="81"/>
            <rFont val="Tahoma"/>
            <family val="2"/>
          </rPr>
          <t xml:space="preserve">
$88,618,000 - To provide recurring dedicated lottery funding for the GIVE HOPE Expansion Act of 2022. The Act provides funding to increase the maximum annual HOPE award to $5,100 for students at four-year institutions and to $3,200 for students at two-year institutions. The Act will also expand access to dual enrollment courses for high school students through the Governor’s Investment in Vocational Education (GIVE) program, lower the age to qualify for Tennessee Reconnect to 23, and expand eligibility for the HOPE Nontraditional and HOPE Foster Child Tuition programs. (B-94)
$643,500 - From the funds appropriated to the Lottery for Education Account, there is earmarked $643,500 (recurring) for the sole purpose of implementing SB 2081 / HB2226, relative to middle college scholarships, if such a bill becomes law. (Assuming that these funds are earmarked from those already available, not additional funds.) 
</t>
        </r>
        <r>
          <rPr>
            <b/>
            <sz val="9"/>
            <color indexed="81"/>
            <rFont val="Tahoma"/>
            <family val="2"/>
          </rPr>
          <t>Legislative Budget pg. 86 Section 50, Item 5</t>
        </r>
      </text>
    </comment>
  </commentList>
</comments>
</file>

<file path=xl/sharedStrings.xml><?xml version="1.0" encoding="utf-8"?>
<sst xmlns="http://schemas.openxmlformats.org/spreadsheetml/2006/main" count="172" uniqueCount="120">
  <si>
    <t>Academic Formula Units</t>
  </si>
  <si>
    <t>Austin Peay</t>
  </si>
  <si>
    <t>East Tennessee</t>
  </si>
  <si>
    <t>Middle Tennessee</t>
  </si>
  <si>
    <t>Tennessee State</t>
  </si>
  <si>
    <t>Tennessee Tech</t>
  </si>
  <si>
    <t xml:space="preserve">Subtotal </t>
  </si>
  <si>
    <t>Subtotal</t>
  </si>
  <si>
    <t>UT Universities</t>
  </si>
  <si>
    <t>UT Chattanooga</t>
  </si>
  <si>
    <t>UT Knoxville</t>
  </si>
  <si>
    <t>UT Martin</t>
  </si>
  <si>
    <t>Total Colleges and Universities</t>
  </si>
  <si>
    <t>Total Academic Formula Units</t>
  </si>
  <si>
    <t>Non-Recurring</t>
  </si>
  <si>
    <t>Recurring</t>
  </si>
  <si>
    <t>Percent Change</t>
  </si>
  <si>
    <t>Specialized Units</t>
  </si>
  <si>
    <t>Medical Education</t>
  </si>
  <si>
    <t>ETSU College of Medicine</t>
  </si>
  <si>
    <t>ETSU Family Practice</t>
  </si>
  <si>
    <t>Research and Public Service</t>
  </si>
  <si>
    <t>TSU McMinnville Center</t>
  </si>
  <si>
    <t>TSU Cooperative Extension</t>
  </si>
  <si>
    <t>UT Space Institute</t>
  </si>
  <si>
    <t>UT Institute for Public Service</t>
  </si>
  <si>
    <t>Other Specialized Units</t>
  </si>
  <si>
    <t>UT University-Wide Administration</t>
  </si>
  <si>
    <t>TN Board of Regents Administration</t>
  </si>
  <si>
    <t>TN Student Assistance Corporation</t>
  </si>
  <si>
    <t>Tennessee Students Assistance Corporation</t>
  </si>
  <si>
    <t>TN Higher Education Commission</t>
  </si>
  <si>
    <t>Contract Education</t>
  </si>
  <si>
    <t>Total Specialized Units</t>
  </si>
  <si>
    <t>Total Formula and Specialized Units</t>
  </si>
  <si>
    <t>Program Initiatives</t>
  </si>
  <si>
    <t>Campus Centers of Excellence</t>
  </si>
  <si>
    <t>Campus Centers of Emphasis</t>
  </si>
  <si>
    <t>UT Access and Diversity Initiative</t>
  </si>
  <si>
    <t>TBR Access and Diversity Initiative</t>
  </si>
  <si>
    <t>THEC Grants</t>
  </si>
  <si>
    <t>Research Initiatives - UT</t>
  </si>
  <si>
    <t>TSU McIntire-Stennis Forestry Research</t>
  </si>
  <si>
    <t>Insurance</t>
  </si>
  <si>
    <t>Base</t>
  </si>
  <si>
    <t>Salary</t>
  </si>
  <si>
    <t>Increase</t>
  </si>
  <si>
    <t>Appropriations</t>
  </si>
  <si>
    <t>Change in</t>
  </si>
  <si>
    <t>UT Municipal Technical Advisory Service</t>
  </si>
  <si>
    <t>UT County Technical Assistance Service</t>
  </si>
  <si>
    <t>UT College of Veterinary Medicine</t>
  </si>
  <si>
    <t>UT Agricultural Experiment Station</t>
  </si>
  <si>
    <t>UT Agricultural Extension Service</t>
  </si>
  <si>
    <t>TSU Institute of Agricultural and Environmental Research</t>
  </si>
  <si>
    <t>University of Memphis</t>
  </si>
  <si>
    <t>Community Colleges</t>
  </si>
  <si>
    <t>Outcomes/</t>
  </si>
  <si>
    <t>Productivity</t>
  </si>
  <si>
    <t>Loan/Scholarships Program</t>
  </si>
  <si>
    <t>Other</t>
  </si>
  <si>
    <t>Revised</t>
  </si>
  <si>
    <t>Percent</t>
  </si>
  <si>
    <t>Change</t>
  </si>
  <si>
    <t>Tennessee Student Assistance Awards</t>
  </si>
  <si>
    <t>NA</t>
  </si>
  <si>
    <t>Cost Increases</t>
  </si>
  <si>
    <t>Total Higher Education</t>
  </si>
  <si>
    <t>Total State</t>
  </si>
  <si>
    <t>TN Colleges of Applied Tech</t>
  </si>
  <si>
    <t>Outcomes</t>
  </si>
  <si>
    <t>Tennessee Promise Endowment Scholarships</t>
  </si>
  <si>
    <t>Revisions</t>
  </si>
  <si>
    <t>Recurring Base</t>
  </si>
  <si>
    <t>Lottery for Education Account</t>
  </si>
  <si>
    <t>Adult Learner Initiatives</t>
  </si>
  <si>
    <t>Labor Education Alignment Program</t>
  </si>
  <si>
    <t>Tennessee Higher Education Commission  Administration</t>
  </si>
  <si>
    <t>FOCUS Act</t>
  </si>
  <si>
    <t>UT Health Science Center</t>
  </si>
  <si>
    <t>Seamless Alignment and Integrated Learning Support (SAILS) Program</t>
  </si>
  <si>
    <t>THEC Grants Administration</t>
  </si>
  <si>
    <t>Tennessee Reconnect Community Advisor Program Expansion</t>
  </si>
  <si>
    <t>Tennessee Reconnect Grant Coordinator</t>
  </si>
  <si>
    <t>Capital Projects Coordinator</t>
  </si>
  <si>
    <t>Drive to 55 Support Specialist</t>
  </si>
  <si>
    <t>McWherter Academic Scholars Program</t>
  </si>
  <si>
    <t>Higher Education Capital Maintenance</t>
  </si>
  <si>
    <t>College Completion Initiatives for Minority Students</t>
  </si>
  <si>
    <t>Advise TN (College Advisor Corp)</t>
  </si>
  <si>
    <t>Advise TN (College Advisor Corps)</t>
  </si>
  <si>
    <t>College Coaching</t>
  </si>
  <si>
    <t>Tennessee Promise Bridge Grants</t>
  </si>
  <si>
    <t>Tennessee Reconnect Coordinator</t>
  </si>
  <si>
    <t>Tennessee Language Center</t>
  </si>
  <si>
    <t>Institute for Public Service: Other Agencies</t>
  </si>
  <si>
    <t>Correctional Education Investment</t>
  </si>
  <si>
    <t>Total Higher Ed and Governor's Initiatives PLUS Lottery</t>
  </si>
  <si>
    <t>Equipment for TN Colleges of Applied Technology</t>
  </si>
  <si>
    <t>Washington Center Internships</t>
  </si>
  <si>
    <t>2021-22</t>
  </si>
  <si>
    <t>Locally Governed Institutions</t>
  </si>
  <si>
    <t>2022-23</t>
  </si>
  <si>
    <t>2022-23 Recurring Cost Increases</t>
  </si>
  <si>
    <t>UT Southern</t>
  </si>
  <si>
    <t>TN Achieves Grant</t>
  </si>
  <si>
    <t>Graduate Medical Education (GME) Expansion</t>
  </si>
  <si>
    <t>American Civics</t>
  </si>
  <si>
    <t>tnAchieves - Knox Promise Expansion</t>
  </si>
  <si>
    <t>Correctional Education Investment - Re-Entry Navigators</t>
  </si>
  <si>
    <t>Supporting Postsecondary Access in Rural Communities (SPARC) 4.0</t>
  </si>
  <si>
    <t>Governor's Investment in Vocational Education (GIVE) 3.0 - Community Grants</t>
  </si>
  <si>
    <t>Global</t>
  </si>
  <si>
    <t>Adjustments</t>
  </si>
  <si>
    <t>State Administered Programs</t>
  </si>
  <si>
    <t>State College and University System</t>
  </si>
  <si>
    <t>University of Tennessee System</t>
  </si>
  <si>
    <t>2022-23 Work Program - FINAL</t>
  </si>
  <si>
    <t>LGI Universities</t>
  </si>
  <si>
    <t>TN Board of Regents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</si>
</sst>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1" formatCode="_(* #,##0_);_(* \(#,##0\);_(* &quot;-&quot;_);_(@_)"/>
    <numFmt numFmtId="43" formatCode="_(* #,##0.00_);_(* \(#,##0.00\);_(* &quot;-&quot;??_);_(@_)"/>
    <numFmt numFmtId="164" formatCode="0.0%"/>
    <numFmt numFmtId="165" formatCode="_(* #,##0_);_(* \(#,##0\);_(* &quot;-&quot;??_);_(@_)"/>
    <numFmt numFmtId="166" formatCode="m/d/yy;@"/>
    <numFmt numFmtId="167" formatCode="0.0000"/>
  </numFmts>
  <fonts count="34"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color indexed="81"/>
      <name val="Tahoma"/>
      <family val="2"/>
    </font>
    <font>
      <b/>
      <sz val="9"/>
      <color indexed="81"/>
      <name val="Tahoma"/>
      <family val="2"/>
    </font>
    <font>
      <sz val="10"/>
      <color rgb="FFFF0000"/>
      <name val="Open Sans"/>
      <family val="2"/>
    </font>
    <font>
      <sz val="12"/>
      <color rgb="FFFF0000"/>
      <name val="Open Sans"/>
      <family val="2"/>
    </font>
    <font>
      <sz val="12"/>
      <name val="Open Sans"/>
      <family val="2"/>
    </font>
    <font>
      <sz val="10"/>
      <name val="Open Sans"/>
      <family val="2"/>
    </font>
    <font>
      <b/>
      <sz val="10"/>
      <name val="Open Sans"/>
      <family val="2"/>
    </font>
    <font>
      <b/>
      <sz val="16"/>
      <name val="Open Sans"/>
      <family val="2"/>
    </font>
    <font>
      <sz val="11"/>
      <name val="Open Sans"/>
      <family val="2"/>
    </font>
    <font>
      <b/>
      <sz val="12"/>
      <name val="Open Sans"/>
      <family val="2"/>
    </font>
    <font>
      <b/>
      <i/>
      <sz val="9"/>
      <color indexed="81"/>
      <name val="Tahoma"/>
      <family val="2"/>
    </font>
    <font>
      <sz val="9"/>
      <color indexed="81"/>
      <name val="Tahoma"/>
      <charset val="1"/>
    </font>
    <font>
      <b/>
      <sz val="9"/>
      <color indexed="81"/>
      <name val="Tahoma"/>
      <charset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tint="-0.14999847407452621"/>
        <bgColor indexed="64"/>
      </patternFill>
    </fill>
    <fill>
      <patternFill patternType="solid">
        <fgColor theme="2" tint="-0.49998474074526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0" borderId="0"/>
    <xf numFmtId="0" fontId="15" fillId="23" borderId="7" applyNumberFormat="0" applyFont="0" applyAlignment="0" applyProtection="0"/>
    <xf numFmtId="0" fontId="16" fillId="20" borderId="8" applyNumberFormat="0" applyAlignment="0" applyProtection="0"/>
    <xf numFmtId="9" fontId="6"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278">
    <xf numFmtId="0" fontId="0" fillId="0" borderId="0" xfId="0"/>
    <xf numFmtId="165" fontId="23" fillId="0" borderId="11" xfId="28" applyNumberFormat="1" applyFont="1" applyFill="1" applyBorder="1"/>
    <xf numFmtId="0" fontId="24" fillId="0" borderId="0" xfId="0" applyFont="1" applyFill="1"/>
    <xf numFmtId="5" fontId="24" fillId="0" borderId="0" xfId="0" applyNumberFormat="1" applyFont="1" applyFill="1"/>
    <xf numFmtId="0" fontId="24" fillId="0" borderId="0" xfId="0" applyFont="1" applyFill="1" applyBorder="1"/>
    <xf numFmtId="164" fontId="23" fillId="0" borderId="11" xfId="42" applyNumberFormat="1" applyFont="1" applyFill="1" applyBorder="1"/>
    <xf numFmtId="9" fontId="23" fillId="0" borderId="25" xfId="0" applyNumberFormat="1" applyFont="1" applyFill="1" applyBorder="1"/>
    <xf numFmtId="164" fontId="23" fillId="0" borderId="14" xfId="42" applyNumberFormat="1" applyFont="1" applyFill="1" applyBorder="1" applyAlignment="1">
      <alignment horizontal="center"/>
    </xf>
    <xf numFmtId="41" fontId="23" fillId="25" borderId="10" xfId="0" applyNumberFormat="1" applyFont="1" applyFill="1" applyBorder="1"/>
    <xf numFmtId="164" fontId="23" fillId="25" borderId="13" xfId="42" applyNumberFormat="1" applyFont="1" applyFill="1" applyBorder="1" applyAlignment="1">
      <alignment horizontal="center"/>
    </xf>
    <xf numFmtId="0" fontId="24" fillId="24" borderId="0" xfId="0" applyFont="1" applyFill="1"/>
    <xf numFmtId="0" fontId="23" fillId="0" borderId="0" xfId="0" applyFont="1" applyFill="1" applyAlignment="1"/>
    <xf numFmtId="5" fontId="23" fillId="0" borderId="0" xfId="0" applyNumberFormat="1" applyFont="1" applyFill="1" applyAlignment="1"/>
    <xf numFmtId="165" fontId="23" fillId="0" borderId="0" xfId="28" applyNumberFormat="1" applyFont="1" applyFill="1" applyBorder="1" applyAlignment="1"/>
    <xf numFmtId="0" fontId="24" fillId="0" borderId="0" xfId="0" applyFont="1"/>
    <xf numFmtId="167" fontId="24" fillId="0" borderId="0" xfId="0" applyNumberFormat="1" applyFont="1"/>
    <xf numFmtId="0" fontId="25" fillId="0" borderId="0" xfId="0" applyFont="1"/>
    <xf numFmtId="0" fontId="26" fillId="0" borderId="19" xfId="0" applyFont="1" applyBorder="1"/>
    <xf numFmtId="0" fontId="26" fillId="0" borderId="18" xfId="0" applyFont="1" applyBorder="1"/>
    <xf numFmtId="0" fontId="26" fillId="0" borderId="22" xfId="0" applyFont="1" applyBorder="1"/>
    <xf numFmtId="0" fontId="27" fillId="0" borderId="18" xfId="0" applyFont="1" applyBorder="1"/>
    <xf numFmtId="0" fontId="26" fillId="0" borderId="23" xfId="0" applyFont="1" applyBorder="1"/>
    <xf numFmtId="0" fontId="27" fillId="0" borderId="18" xfId="0" applyFont="1" applyBorder="1" applyAlignment="1">
      <alignment horizontal="right"/>
    </xf>
    <xf numFmtId="0" fontId="25" fillId="0" borderId="18" xfId="0" applyFont="1" applyBorder="1"/>
    <xf numFmtId="0" fontId="27" fillId="0" borderId="18" xfId="0" applyFont="1" applyBorder="1" applyAlignment="1">
      <alignment horizontal="left"/>
    </xf>
    <xf numFmtId="0" fontId="27" fillId="0" borderId="24" xfId="0" applyFont="1" applyBorder="1"/>
    <xf numFmtId="0" fontId="27" fillId="0" borderId="0" xfId="0" applyFont="1" applyBorder="1" applyAlignment="1"/>
    <xf numFmtId="0" fontId="26" fillId="0" borderId="0" xfId="0" applyFont="1" applyAlignment="1"/>
    <xf numFmtId="0" fontId="27" fillId="0" borderId="27" xfId="0" applyFont="1" applyBorder="1" applyAlignment="1">
      <alignment horizontal="right"/>
    </xf>
    <xf numFmtId="0" fontId="27" fillId="0" borderId="12" xfId="0" applyFont="1" applyBorder="1" applyAlignment="1">
      <alignment horizontal="right"/>
    </xf>
    <xf numFmtId="0" fontId="27" fillId="0" borderId="28" xfId="0" applyFont="1" applyBorder="1" applyAlignment="1">
      <alignment horizontal="right"/>
    </xf>
    <xf numFmtId="0" fontId="27" fillId="0" borderId="0" xfId="0" applyFont="1" applyBorder="1" applyAlignment="1">
      <alignment horizontal="right"/>
    </xf>
    <xf numFmtId="0" fontId="26" fillId="0" borderId="0" xfId="0" applyFont="1"/>
    <xf numFmtId="5" fontId="26" fillId="0" borderId="0" xfId="0" applyNumberFormat="1" applyFont="1" applyBorder="1"/>
    <xf numFmtId="0" fontId="25" fillId="0" borderId="0" xfId="0" applyFont="1" applyFill="1"/>
    <xf numFmtId="0" fontId="25" fillId="0" borderId="0" xfId="0" applyFont="1" applyBorder="1"/>
    <xf numFmtId="0" fontId="26" fillId="0" borderId="19" xfId="0" applyFont="1" applyFill="1" applyBorder="1"/>
    <xf numFmtId="0" fontId="26" fillId="0" borderId="18" xfId="0" applyFont="1" applyFill="1" applyBorder="1"/>
    <xf numFmtId="0" fontId="26" fillId="0" borderId="22" xfId="0" applyFont="1" applyFill="1" applyBorder="1"/>
    <xf numFmtId="0" fontId="27" fillId="0" borderId="18" xfId="0" applyFont="1" applyFill="1" applyBorder="1"/>
    <xf numFmtId="0" fontId="26" fillId="0" borderId="31" xfId="0" applyFont="1" applyFill="1" applyBorder="1"/>
    <xf numFmtId="0" fontId="27" fillId="0" borderId="18" xfId="0" applyFont="1" applyFill="1" applyBorder="1" applyAlignment="1">
      <alignment horizontal="right"/>
    </xf>
    <xf numFmtId="0" fontId="26" fillId="25" borderId="26" xfId="0" applyFont="1" applyFill="1" applyBorder="1" applyAlignment="1">
      <alignment horizontal="right"/>
    </xf>
    <xf numFmtId="0" fontId="26" fillId="25" borderId="23" xfId="0" applyFont="1" applyFill="1" applyBorder="1" applyAlignment="1">
      <alignment horizontal="right"/>
    </xf>
    <xf numFmtId="0" fontId="26" fillId="0" borderId="23" xfId="0" applyFont="1" applyFill="1" applyBorder="1"/>
    <xf numFmtId="0" fontId="26" fillId="25" borderId="18" xfId="0" applyFont="1" applyFill="1" applyBorder="1" applyAlignment="1">
      <alignment horizontal="right"/>
    </xf>
    <xf numFmtId="0" fontId="26" fillId="25" borderId="22" xfId="0" applyFont="1" applyFill="1" applyBorder="1" applyAlignment="1">
      <alignment horizontal="right"/>
    </xf>
    <xf numFmtId="0" fontId="27" fillId="0" borderId="26" xfId="0" applyFont="1" applyFill="1" applyBorder="1" applyAlignment="1">
      <alignment horizontal="right"/>
    </xf>
    <xf numFmtId="0" fontId="27" fillId="0" borderId="23" xfId="0" applyFont="1" applyFill="1" applyBorder="1" applyAlignment="1">
      <alignment horizontal="right"/>
    </xf>
    <xf numFmtId="0" fontId="27" fillId="0" borderId="24" xfId="0" applyFont="1" applyFill="1" applyBorder="1" applyAlignment="1">
      <alignment horizontal="right"/>
    </xf>
    <xf numFmtId="0" fontId="26" fillId="0" borderId="38" xfId="0" applyFont="1" applyFill="1" applyBorder="1" applyAlignment="1"/>
    <xf numFmtId="0" fontId="27" fillId="0" borderId="40" xfId="0" applyFont="1" applyFill="1" applyBorder="1" applyAlignment="1">
      <alignment horizontal="right"/>
    </xf>
    <xf numFmtId="0" fontId="27" fillId="26" borderId="40" xfId="0" applyFont="1" applyFill="1" applyBorder="1" applyAlignment="1">
      <alignment horizontal="right"/>
    </xf>
    <xf numFmtId="5" fontId="25" fillId="0" borderId="0" xfId="0" applyNumberFormat="1" applyFont="1" applyFill="1"/>
    <xf numFmtId="0" fontId="25" fillId="0" borderId="0" xfId="0" applyFont="1" applyFill="1" applyBorder="1"/>
    <xf numFmtId="0" fontId="26" fillId="0" borderId="20" xfId="0" applyFont="1" applyBorder="1" applyAlignment="1">
      <alignment horizontal="center"/>
    </xf>
    <xf numFmtId="164" fontId="26" fillId="0" borderId="14" xfId="42" applyNumberFormat="1" applyFont="1" applyBorder="1" applyAlignment="1">
      <alignment horizontal="center"/>
    </xf>
    <xf numFmtId="164" fontId="26" fillId="0" borderId="13" xfId="42" applyNumberFormat="1" applyFont="1" applyBorder="1" applyAlignment="1">
      <alignment horizontal="center"/>
    </xf>
    <xf numFmtId="9" fontId="26" fillId="0" borderId="14" xfId="0" applyNumberFormat="1" applyFont="1" applyBorder="1"/>
    <xf numFmtId="5" fontId="26" fillId="0" borderId="14" xfId="0" applyNumberFormat="1" applyFont="1" applyBorder="1"/>
    <xf numFmtId="165" fontId="26" fillId="0" borderId="14" xfId="28" applyNumberFormat="1" applyFont="1" applyBorder="1"/>
    <xf numFmtId="165" fontId="26" fillId="0" borderId="13" xfId="28" applyNumberFormat="1" applyFont="1" applyBorder="1"/>
    <xf numFmtId="5" fontId="27" fillId="0" borderId="14" xfId="0" applyNumberFormat="1" applyFont="1" applyBorder="1"/>
    <xf numFmtId="0" fontId="26" fillId="0" borderId="14" xfId="0" applyFont="1" applyBorder="1"/>
    <xf numFmtId="5" fontId="27" fillId="0" borderId="16" xfId="0" applyNumberFormat="1" applyFont="1" applyBorder="1"/>
    <xf numFmtId="5" fontId="27" fillId="0" borderId="0" xfId="0" applyNumberFormat="1" applyFont="1" applyBorder="1" applyAlignment="1"/>
    <xf numFmtId="5" fontId="26" fillId="0" borderId="0" xfId="0" applyNumberFormat="1" applyFont="1" applyAlignment="1"/>
    <xf numFmtId="165" fontId="26" fillId="0" borderId="45" xfId="28" applyNumberFormat="1" applyFont="1" applyBorder="1" applyAlignment="1">
      <alignment horizontal="right"/>
    </xf>
    <xf numFmtId="165" fontId="26" fillId="0" borderId="0" xfId="28" applyNumberFormat="1" applyFont="1" applyBorder="1" applyAlignment="1">
      <alignment horizontal="right"/>
    </xf>
    <xf numFmtId="165" fontId="26" fillId="0" borderId="39" xfId="28" applyNumberFormat="1" applyFont="1" applyBorder="1" applyAlignment="1">
      <alignment horizontal="right"/>
    </xf>
    <xf numFmtId="165" fontId="26" fillId="0" borderId="0" xfId="28" applyNumberFormat="1" applyFont="1" applyBorder="1"/>
    <xf numFmtId="165" fontId="26" fillId="0" borderId="39" xfId="28" applyNumberFormat="1" applyFont="1" applyBorder="1"/>
    <xf numFmtId="5" fontId="27" fillId="0" borderId="0" xfId="0" applyNumberFormat="1" applyFont="1" applyBorder="1"/>
    <xf numFmtId="0" fontId="26" fillId="0" borderId="37" xfId="0" applyFont="1" applyBorder="1" applyAlignment="1">
      <alignment horizontal="center"/>
    </xf>
    <xf numFmtId="0" fontId="26" fillId="0" borderId="39" xfId="0" applyFont="1" applyBorder="1" applyAlignment="1">
      <alignment horizontal="center"/>
    </xf>
    <xf numFmtId="9" fontId="26" fillId="0" borderId="0" xfId="0" applyNumberFormat="1" applyFont="1" applyBorder="1"/>
    <xf numFmtId="0" fontId="26" fillId="0" borderId="0" xfId="0" applyFont="1" applyBorder="1"/>
    <xf numFmtId="5" fontId="27" fillId="0" borderId="36" xfId="0" applyNumberFormat="1" applyFont="1" applyBorder="1"/>
    <xf numFmtId="164" fontId="26" fillId="0" borderId="30" xfId="42" applyNumberFormat="1" applyFont="1" applyBorder="1" applyAlignment="1">
      <alignment horizontal="center"/>
    </xf>
    <xf numFmtId="164" fontId="26" fillId="0" borderId="29" xfId="42" applyNumberFormat="1" applyFont="1" applyBorder="1" applyAlignment="1">
      <alignment horizontal="center"/>
    </xf>
    <xf numFmtId="5" fontId="26" fillId="0" borderId="31" xfId="0" applyNumberFormat="1" applyFont="1" applyFill="1" applyBorder="1"/>
    <xf numFmtId="165" fontId="26" fillId="0" borderId="31" xfId="28" applyNumberFormat="1" applyFont="1" applyFill="1" applyBorder="1"/>
    <xf numFmtId="165" fontId="26" fillId="0" borderId="23" xfId="28" applyNumberFormat="1" applyFont="1" applyFill="1" applyBorder="1"/>
    <xf numFmtId="5" fontId="26" fillId="0" borderId="11" xfId="0" applyNumberFormat="1" applyFont="1" applyFill="1" applyBorder="1"/>
    <xf numFmtId="5" fontId="26" fillId="0" borderId="14" xfId="0" applyNumberFormat="1" applyFont="1" applyFill="1" applyBorder="1"/>
    <xf numFmtId="165" fontId="26" fillId="0" borderId="11" xfId="28" applyNumberFormat="1" applyFont="1" applyFill="1" applyBorder="1"/>
    <xf numFmtId="165" fontId="26" fillId="0" borderId="14" xfId="28" applyNumberFormat="1" applyFont="1" applyFill="1" applyBorder="1"/>
    <xf numFmtId="165" fontId="26" fillId="0" borderId="10" xfId="28" applyNumberFormat="1" applyFont="1" applyFill="1" applyBorder="1"/>
    <xf numFmtId="165" fontId="26" fillId="0" borderId="13" xfId="28" applyNumberFormat="1" applyFont="1" applyFill="1" applyBorder="1"/>
    <xf numFmtId="5" fontId="27" fillId="0" borderId="11" xfId="0" applyNumberFormat="1" applyFont="1" applyFill="1" applyBorder="1"/>
    <xf numFmtId="5" fontId="27" fillId="0" borderId="14" xfId="0" applyNumberFormat="1" applyFont="1" applyFill="1" applyBorder="1"/>
    <xf numFmtId="5" fontId="27" fillId="0" borderId="31" xfId="0" applyNumberFormat="1" applyFont="1" applyFill="1" applyBorder="1"/>
    <xf numFmtId="0" fontId="26" fillId="0" borderId="31" xfId="0" applyFont="1" applyBorder="1" applyAlignment="1">
      <alignment horizontal="center"/>
    </xf>
    <xf numFmtId="0" fontId="26" fillId="0" borderId="23" xfId="0" applyFont="1" applyBorder="1" applyAlignment="1">
      <alignment horizontal="center"/>
    </xf>
    <xf numFmtId="9" fontId="26" fillId="0" borderId="31" xfId="0" applyNumberFormat="1" applyFont="1" applyBorder="1"/>
    <xf numFmtId="5" fontId="26" fillId="0" borderId="31" xfId="0" applyNumberFormat="1" applyFont="1" applyBorder="1"/>
    <xf numFmtId="165" fontId="26" fillId="0" borderId="31" xfId="28" applyNumberFormat="1" applyFont="1" applyBorder="1"/>
    <xf numFmtId="5" fontId="27" fillId="0" borderId="32" xfId="0" applyNumberFormat="1" applyFont="1" applyFill="1" applyBorder="1"/>
    <xf numFmtId="0" fontId="26" fillId="0" borderId="11" xfId="0" applyFont="1" applyBorder="1" applyAlignment="1">
      <alignment horizontal="center"/>
    </xf>
    <xf numFmtId="43" fontId="26" fillId="0" borderId="31" xfId="28" applyFont="1" applyBorder="1" applyAlignment="1">
      <alignment horizontal="center"/>
    </xf>
    <xf numFmtId="43" fontId="26" fillId="0" borderId="11" xfId="28" applyFont="1" applyBorder="1" applyAlignment="1">
      <alignment horizontal="center"/>
    </xf>
    <xf numFmtId="43" fontId="26" fillId="0" borderId="14" xfId="28" applyFont="1" applyBorder="1" applyAlignment="1">
      <alignment horizontal="center"/>
    </xf>
    <xf numFmtId="0" fontId="26" fillId="0" borderId="14" xfId="0" applyFont="1" applyBorder="1" applyAlignment="1">
      <alignment horizontal="center"/>
    </xf>
    <xf numFmtId="0" fontId="26" fillId="0" borderId="10" xfId="0" applyFont="1" applyBorder="1" applyAlignment="1">
      <alignment horizontal="center"/>
    </xf>
    <xf numFmtId="164" fontId="26" fillId="0" borderId="10" xfId="42" applyNumberFormat="1" applyFont="1" applyBorder="1" applyAlignment="1">
      <alignment horizontal="center"/>
    </xf>
    <xf numFmtId="164" fontId="26" fillId="0" borderId="23" xfId="42" applyNumberFormat="1" applyFont="1" applyBorder="1" applyAlignment="1">
      <alignment horizontal="center"/>
    </xf>
    <xf numFmtId="0" fontId="26" fillId="0" borderId="13" xfId="0" applyFont="1" applyBorder="1" applyAlignment="1">
      <alignment horizontal="center"/>
    </xf>
    <xf numFmtId="9" fontId="26" fillId="0" borderId="11" xfId="0" applyNumberFormat="1" applyFont="1" applyBorder="1"/>
    <xf numFmtId="5" fontId="26" fillId="0" borderId="11" xfId="0" applyNumberFormat="1" applyFont="1" applyBorder="1"/>
    <xf numFmtId="165" fontId="26" fillId="0" borderId="11" xfId="28" applyNumberFormat="1" applyFont="1" applyBorder="1"/>
    <xf numFmtId="0" fontId="26" fillId="0" borderId="11" xfId="0" applyFont="1" applyFill="1" applyBorder="1"/>
    <xf numFmtId="5" fontId="27" fillId="0" borderId="15" xfId="0" applyNumberFormat="1" applyFont="1" applyFill="1" applyBorder="1"/>
    <xf numFmtId="0" fontId="26" fillId="0" borderId="14" xfId="0" applyFont="1" applyFill="1" applyBorder="1"/>
    <xf numFmtId="5" fontId="27" fillId="0" borderId="16" xfId="0" applyNumberFormat="1" applyFont="1" applyFill="1" applyBorder="1"/>
    <xf numFmtId="164" fontId="26" fillId="0" borderId="14" xfId="42" applyNumberFormat="1" applyFont="1" applyFill="1" applyBorder="1"/>
    <xf numFmtId="164" fontId="26" fillId="0" borderId="31" xfId="42" applyNumberFormat="1" applyFont="1" applyBorder="1"/>
    <xf numFmtId="165" fontId="26" fillId="0" borderId="10" xfId="28" applyNumberFormat="1" applyFont="1" applyBorder="1"/>
    <xf numFmtId="165" fontId="26" fillId="0" borderId="23" xfId="28" applyNumberFormat="1" applyFont="1" applyBorder="1"/>
    <xf numFmtId="5" fontId="27" fillId="0" borderId="11" xfId="0" applyNumberFormat="1" applyFont="1" applyBorder="1"/>
    <xf numFmtId="5" fontId="27" fillId="0" borderId="31" xfId="0" applyNumberFormat="1" applyFont="1" applyBorder="1"/>
    <xf numFmtId="164" fontId="27" fillId="0" borderId="14" xfId="42" applyNumberFormat="1" applyFont="1" applyBorder="1" applyAlignment="1">
      <alignment horizontal="center"/>
    </xf>
    <xf numFmtId="0" fontId="26" fillId="0" borderId="11" xfId="0" applyFont="1" applyBorder="1"/>
    <xf numFmtId="0" fontId="26" fillId="0" borderId="31" xfId="0" applyFont="1" applyBorder="1"/>
    <xf numFmtId="5" fontId="27" fillId="0" borderId="15" xfId="0" applyNumberFormat="1" applyFont="1" applyBorder="1"/>
    <xf numFmtId="5" fontId="27" fillId="0" borderId="32" xfId="0" applyNumberFormat="1" applyFont="1" applyBorder="1"/>
    <xf numFmtId="164" fontId="27" fillId="0" borderId="16" xfId="42" applyNumberFormat="1" applyFont="1" applyBorder="1" applyAlignment="1">
      <alignment horizontal="center"/>
    </xf>
    <xf numFmtId="164" fontId="27" fillId="0" borderId="0" xfId="42" applyNumberFormat="1" applyFont="1" applyBorder="1" applyAlignment="1">
      <alignment horizontal="center"/>
    </xf>
    <xf numFmtId="165" fontId="26" fillId="0" borderId="46" xfId="28" applyNumberFormat="1" applyFont="1" applyBorder="1" applyAlignment="1">
      <alignment horizontal="right"/>
    </xf>
    <xf numFmtId="165" fontId="26" fillId="0" borderId="37" xfId="28" applyNumberFormat="1" applyFont="1" applyBorder="1" applyAlignment="1">
      <alignment horizontal="right"/>
    </xf>
    <xf numFmtId="165" fontId="26" fillId="0" borderId="35" xfId="28" applyNumberFormat="1" applyFont="1" applyBorder="1" applyAlignment="1">
      <alignment horizontal="right"/>
    </xf>
    <xf numFmtId="0" fontId="26" fillId="0" borderId="33" xfId="0" applyFont="1" applyFill="1" applyBorder="1" applyAlignment="1">
      <alignment horizontal="center"/>
    </xf>
    <xf numFmtId="164" fontId="26" fillId="0" borderId="12" xfId="42" applyNumberFormat="1" applyFont="1" applyFill="1" applyBorder="1" applyAlignment="1">
      <alignment horizontal="center"/>
    </xf>
    <xf numFmtId="164" fontId="26" fillId="0" borderId="28" xfId="42" applyNumberFormat="1" applyFont="1" applyFill="1" applyBorder="1" applyAlignment="1">
      <alignment horizontal="center"/>
    </xf>
    <xf numFmtId="5" fontId="26" fillId="0" borderId="12" xfId="0" applyNumberFormat="1" applyFont="1" applyFill="1" applyBorder="1"/>
    <xf numFmtId="41" fontId="26" fillId="0" borderId="12" xfId="0" applyNumberFormat="1" applyFont="1" applyFill="1" applyBorder="1"/>
    <xf numFmtId="5" fontId="27" fillId="0" borderId="27" xfId="0" applyNumberFormat="1" applyFont="1" applyFill="1" applyBorder="1"/>
    <xf numFmtId="0" fontId="26" fillId="0" borderId="12" xfId="0" applyFont="1" applyFill="1" applyBorder="1"/>
    <xf numFmtId="41" fontId="26" fillId="25" borderId="27" xfId="0" applyNumberFormat="1" applyFont="1" applyFill="1" applyBorder="1"/>
    <xf numFmtId="41" fontId="26" fillId="25" borderId="28" xfId="0" applyNumberFormat="1" applyFont="1" applyFill="1" applyBorder="1"/>
    <xf numFmtId="41" fontId="26" fillId="0" borderId="28" xfId="0" applyNumberFormat="1" applyFont="1" applyFill="1" applyBorder="1"/>
    <xf numFmtId="5" fontId="27" fillId="0" borderId="12" xfId="0" applyNumberFormat="1" applyFont="1" applyFill="1" applyBorder="1"/>
    <xf numFmtId="165" fontId="26" fillId="0" borderId="12" xfId="28" applyNumberFormat="1" applyFont="1" applyFill="1" applyBorder="1"/>
    <xf numFmtId="41" fontId="26" fillId="25" borderId="12" xfId="0" applyNumberFormat="1" applyFont="1" applyFill="1" applyBorder="1"/>
    <xf numFmtId="5" fontId="27" fillId="0" borderId="28" xfId="0" applyNumberFormat="1" applyFont="1" applyFill="1" applyBorder="1"/>
    <xf numFmtId="165" fontId="26" fillId="25" borderId="27" xfId="28" applyNumberFormat="1" applyFont="1" applyFill="1" applyBorder="1"/>
    <xf numFmtId="165" fontId="26" fillId="25" borderId="12" xfId="28" applyNumberFormat="1" applyFont="1" applyFill="1" applyBorder="1"/>
    <xf numFmtId="165" fontId="26" fillId="25" borderId="28" xfId="28" applyNumberFormat="1" applyFont="1" applyFill="1" applyBorder="1"/>
    <xf numFmtId="5" fontId="27" fillId="0" borderId="17" xfId="0" applyNumberFormat="1" applyFont="1" applyFill="1" applyBorder="1"/>
    <xf numFmtId="5" fontId="26" fillId="0" borderId="38" xfId="0" applyNumberFormat="1" applyFont="1" applyFill="1" applyBorder="1" applyAlignment="1"/>
    <xf numFmtId="5" fontId="27" fillId="0" borderId="42" xfId="0" applyNumberFormat="1" applyFont="1" applyFill="1" applyBorder="1"/>
    <xf numFmtId="5" fontId="27" fillId="26" borderId="42" xfId="0" applyNumberFormat="1" applyFont="1" applyFill="1" applyBorder="1"/>
    <xf numFmtId="165" fontId="29" fillId="0" borderId="0" xfId="28" applyNumberFormat="1" applyFont="1" applyFill="1" applyBorder="1"/>
    <xf numFmtId="164" fontId="26" fillId="0" borderId="21" xfId="42" applyNumberFormat="1" applyFont="1" applyFill="1" applyBorder="1" applyAlignment="1">
      <alignment horizontal="center"/>
    </xf>
    <xf numFmtId="0" fontId="26" fillId="0" borderId="20" xfId="0" applyFont="1" applyFill="1" applyBorder="1" applyAlignment="1">
      <alignment horizontal="center"/>
    </xf>
    <xf numFmtId="164" fontId="26" fillId="0" borderId="31" xfId="42" applyNumberFormat="1" applyFont="1" applyFill="1" applyBorder="1" applyAlignment="1">
      <alignment horizontal="center"/>
    </xf>
    <xf numFmtId="166" fontId="26" fillId="0" borderId="14" xfId="42" applyNumberFormat="1" applyFont="1" applyFill="1" applyBorder="1" applyAlignment="1">
      <alignment horizontal="center"/>
    </xf>
    <xf numFmtId="0" fontId="26" fillId="0" borderId="31" xfId="0" applyFont="1" applyFill="1" applyBorder="1" applyAlignment="1">
      <alignment horizontal="center"/>
    </xf>
    <xf numFmtId="0" fontId="26" fillId="0" borderId="11" xfId="0" applyFont="1" applyFill="1" applyBorder="1" applyAlignment="1">
      <alignment horizontal="center"/>
    </xf>
    <xf numFmtId="164" fontId="26" fillId="0" borderId="11" xfId="42" applyNumberFormat="1" applyFont="1" applyFill="1" applyBorder="1" applyAlignment="1">
      <alignment horizontal="center"/>
    </xf>
    <xf numFmtId="166" fontId="26" fillId="0" borderId="31" xfId="42" applyNumberFormat="1" applyFont="1" applyFill="1" applyBorder="1" applyAlignment="1">
      <alignment horizontal="center"/>
    </xf>
    <xf numFmtId="43" fontId="26" fillId="0" borderId="11" xfId="28" applyFont="1" applyFill="1" applyBorder="1" applyAlignment="1">
      <alignment horizontal="center"/>
    </xf>
    <xf numFmtId="0" fontId="26" fillId="0" borderId="14" xfId="0" applyFont="1" applyFill="1" applyBorder="1" applyAlignment="1">
      <alignment horizontal="center"/>
    </xf>
    <xf numFmtId="164" fontId="26" fillId="0" borderId="23" xfId="42" applyNumberFormat="1" applyFont="1" applyFill="1" applyBorder="1" applyAlignment="1">
      <alignment horizontal="center"/>
    </xf>
    <xf numFmtId="164" fontId="26" fillId="0" borderId="13" xfId="42" applyNumberFormat="1" applyFont="1" applyFill="1" applyBorder="1" applyAlignment="1">
      <alignment horizontal="center"/>
    </xf>
    <xf numFmtId="0" fontId="26" fillId="0" borderId="23" xfId="0" applyFont="1" applyFill="1" applyBorder="1" applyAlignment="1">
      <alignment horizontal="center"/>
    </xf>
    <xf numFmtId="0" fontId="26" fillId="0" borderId="10" xfId="0" applyFont="1" applyFill="1" applyBorder="1" applyAlignment="1">
      <alignment horizontal="center"/>
    </xf>
    <xf numFmtId="164" fontId="26" fillId="0" borderId="10" xfId="42" applyNumberFormat="1" applyFont="1" applyFill="1" applyBorder="1" applyAlignment="1">
      <alignment horizontal="center"/>
    </xf>
    <xf numFmtId="0" fontId="26" fillId="0" borderId="13" xfId="0" applyFont="1" applyFill="1" applyBorder="1" applyAlignment="1">
      <alignment horizontal="center"/>
    </xf>
    <xf numFmtId="5" fontId="26" fillId="0" borderId="18" xfId="0" applyNumberFormat="1" applyFont="1" applyFill="1" applyBorder="1"/>
    <xf numFmtId="41" fontId="26" fillId="25" borderId="25" xfId="0" applyNumberFormat="1" applyFont="1" applyFill="1" applyBorder="1"/>
    <xf numFmtId="41" fontId="26" fillId="0" borderId="18" xfId="0" applyNumberFormat="1" applyFont="1" applyFill="1" applyBorder="1"/>
    <xf numFmtId="41" fontId="26" fillId="0" borderId="14" xfId="0" applyNumberFormat="1" applyFont="1" applyFill="1" applyBorder="1"/>
    <xf numFmtId="41" fontId="26" fillId="0" borderId="11" xfId="0" applyNumberFormat="1" applyFont="1" applyFill="1" applyBorder="1"/>
    <xf numFmtId="164" fontId="26" fillId="0" borderId="14" xfId="42" applyNumberFormat="1" applyFont="1" applyFill="1" applyBorder="1" applyAlignment="1">
      <alignment horizontal="center"/>
    </xf>
    <xf numFmtId="41" fontId="26" fillId="0" borderId="31" xfId="0" applyNumberFormat="1" applyFont="1" applyFill="1" applyBorder="1"/>
    <xf numFmtId="41" fontId="26" fillId="0" borderId="10" xfId="0" applyNumberFormat="1" applyFont="1" applyFill="1" applyBorder="1"/>
    <xf numFmtId="41" fontId="26" fillId="0" borderId="13" xfId="0" applyNumberFormat="1" applyFont="1" applyFill="1" applyBorder="1"/>
    <xf numFmtId="41" fontId="26" fillId="25" borderId="34" xfId="0" applyNumberFormat="1" applyFont="1" applyFill="1" applyBorder="1"/>
    <xf numFmtId="164" fontId="26" fillId="25" borderId="25" xfId="42" applyNumberFormat="1" applyFont="1" applyFill="1" applyBorder="1" applyAlignment="1">
      <alignment horizontal="center"/>
    </xf>
    <xf numFmtId="41" fontId="26" fillId="25" borderId="22" xfId="0" applyNumberFormat="1" applyFont="1" applyFill="1" applyBorder="1"/>
    <xf numFmtId="41" fontId="26" fillId="25" borderId="13" xfId="0" applyNumberFormat="1" applyFont="1" applyFill="1" applyBorder="1"/>
    <xf numFmtId="9" fontId="26" fillId="0" borderId="14" xfId="0" applyNumberFormat="1" applyFont="1" applyFill="1" applyBorder="1"/>
    <xf numFmtId="5" fontId="27" fillId="0" borderId="25" xfId="0" applyNumberFormat="1" applyFont="1" applyFill="1" applyBorder="1"/>
    <xf numFmtId="41" fontId="26" fillId="25" borderId="14" xfId="0" applyNumberFormat="1" applyFont="1" applyFill="1" applyBorder="1"/>
    <xf numFmtId="5" fontId="27" fillId="0" borderId="13" xfId="0" applyNumberFormat="1" applyFont="1" applyFill="1" applyBorder="1"/>
    <xf numFmtId="165" fontId="26" fillId="0" borderId="38" xfId="0" applyNumberFormat="1" applyFont="1" applyFill="1" applyBorder="1" applyAlignment="1"/>
    <xf numFmtId="5" fontId="27" fillId="0" borderId="44" xfId="0" applyNumberFormat="1" applyFont="1" applyFill="1" applyBorder="1"/>
    <xf numFmtId="5" fontId="27" fillId="26" borderId="44" xfId="0" applyNumberFormat="1" applyFont="1" applyFill="1" applyBorder="1"/>
    <xf numFmtId="0" fontId="26" fillId="0" borderId="0" xfId="0" applyFont="1" applyFill="1" applyAlignment="1"/>
    <xf numFmtId="5" fontId="26" fillId="0" borderId="0" xfId="0" applyNumberFormat="1" applyFont="1" applyFill="1" applyAlignment="1"/>
    <xf numFmtId="164" fontId="27" fillId="0" borderId="14" xfId="42" applyNumberFormat="1" applyFont="1" applyFill="1" applyBorder="1" applyAlignment="1">
      <alignment horizontal="center"/>
    </xf>
    <xf numFmtId="41" fontId="26" fillId="25" borderId="10" xfId="0" applyNumberFormat="1" applyFont="1" applyFill="1" applyBorder="1"/>
    <xf numFmtId="164" fontId="26" fillId="25" borderId="13" xfId="42" applyNumberFormat="1" applyFont="1" applyFill="1" applyBorder="1" applyAlignment="1">
      <alignment horizontal="center"/>
    </xf>
    <xf numFmtId="41" fontId="26" fillId="0" borderId="22" xfId="0" applyNumberFormat="1" applyFont="1" applyFill="1" applyBorder="1"/>
    <xf numFmtId="5" fontId="27" fillId="0" borderId="53" xfId="0" applyNumberFormat="1" applyFont="1" applyFill="1" applyBorder="1"/>
    <xf numFmtId="5" fontId="27" fillId="0" borderId="34" xfId="0" applyNumberFormat="1" applyFont="1" applyFill="1" applyBorder="1"/>
    <xf numFmtId="164" fontId="27" fillId="0" borderId="25" xfId="42" applyNumberFormat="1" applyFont="1" applyFill="1" applyBorder="1" applyAlignment="1">
      <alignment horizontal="center"/>
    </xf>
    <xf numFmtId="41" fontId="26" fillId="25" borderId="11" xfId="0" applyNumberFormat="1" applyFont="1" applyFill="1" applyBorder="1"/>
    <xf numFmtId="10" fontId="25" fillId="0" borderId="0" xfId="42" applyNumberFormat="1" applyFont="1" applyFill="1"/>
    <xf numFmtId="164" fontId="26" fillId="25" borderId="14" xfId="42" applyNumberFormat="1" applyFont="1" applyFill="1" applyBorder="1" applyAlignment="1">
      <alignment horizontal="center"/>
    </xf>
    <xf numFmtId="5" fontId="27" fillId="0" borderId="41" xfId="0" applyNumberFormat="1" applyFont="1" applyFill="1" applyBorder="1"/>
    <xf numFmtId="5" fontId="27" fillId="0" borderId="55" xfId="0" applyNumberFormat="1" applyFont="1" applyFill="1" applyBorder="1"/>
    <xf numFmtId="5" fontId="27" fillId="0" borderId="43" xfId="0" applyNumberFormat="1" applyFont="1" applyFill="1" applyBorder="1"/>
    <xf numFmtId="164" fontId="27" fillId="0" borderId="44" xfId="42" applyNumberFormat="1" applyFont="1" applyFill="1" applyBorder="1" applyAlignment="1">
      <alignment horizontal="center"/>
    </xf>
    <xf numFmtId="5" fontId="27" fillId="0" borderId="23" xfId="0" applyNumberFormat="1" applyFont="1" applyFill="1" applyBorder="1"/>
    <xf numFmtId="5" fontId="27" fillId="0" borderId="10" xfId="0" applyNumberFormat="1" applyFont="1" applyFill="1" applyBorder="1"/>
    <xf numFmtId="164" fontId="27" fillId="0" borderId="13" xfId="42" applyNumberFormat="1" applyFont="1" applyFill="1" applyBorder="1" applyAlignment="1">
      <alignment horizontal="center"/>
    </xf>
    <xf numFmtId="5" fontId="27" fillId="0" borderId="26" xfId="0" applyNumberFormat="1" applyFont="1" applyFill="1" applyBorder="1"/>
    <xf numFmtId="9" fontId="26" fillId="0" borderId="31" xfId="0" applyNumberFormat="1" applyFont="1" applyFill="1" applyBorder="1"/>
    <xf numFmtId="165" fontId="26" fillId="0" borderId="18" xfId="28" applyNumberFormat="1" applyFont="1" applyFill="1" applyBorder="1"/>
    <xf numFmtId="10" fontId="26" fillId="0" borderId="38" xfId="42" applyNumberFormat="1" applyFont="1" applyFill="1" applyBorder="1" applyAlignment="1"/>
    <xf numFmtId="164" fontId="27" fillId="0" borderId="16" xfId="42" applyNumberFormat="1" applyFont="1" applyFill="1" applyBorder="1" applyAlignment="1">
      <alignment horizontal="center"/>
    </xf>
    <xf numFmtId="165" fontId="26" fillId="0" borderId="38" xfId="28" applyNumberFormat="1" applyFont="1" applyFill="1" applyBorder="1" applyAlignment="1"/>
    <xf numFmtId="10" fontId="25" fillId="0" borderId="0" xfId="42" applyNumberFormat="1" applyFont="1" applyFill="1" applyAlignment="1">
      <alignment horizontal="right"/>
    </xf>
    <xf numFmtId="0" fontId="25" fillId="0" borderId="0" xfId="0" applyFont="1" applyFill="1" applyAlignment="1">
      <alignment horizontal="right"/>
    </xf>
    <xf numFmtId="165" fontId="25" fillId="0" borderId="0" xfId="42" applyNumberFormat="1" applyFont="1" applyFill="1" applyAlignment="1">
      <alignment horizontal="right"/>
    </xf>
    <xf numFmtId="5" fontId="27" fillId="26" borderId="41" xfId="0" applyNumberFormat="1" applyFont="1" applyFill="1" applyBorder="1"/>
    <xf numFmtId="5" fontId="27" fillId="26" borderId="55" xfId="0" applyNumberFormat="1" applyFont="1" applyFill="1" applyBorder="1"/>
    <xf numFmtId="5" fontId="27" fillId="26" borderId="43" xfId="0" applyNumberFormat="1" applyFont="1" applyFill="1" applyBorder="1"/>
    <xf numFmtId="164" fontId="27" fillId="26" borderId="44" xfId="42" applyNumberFormat="1" applyFont="1" applyFill="1" applyBorder="1" applyAlignment="1">
      <alignment horizontal="center"/>
    </xf>
    <xf numFmtId="165" fontId="26" fillId="0" borderId="0" xfId="28" applyNumberFormat="1" applyFont="1" applyFill="1" applyBorder="1" applyAlignment="1"/>
    <xf numFmtId="0" fontId="30" fillId="0" borderId="0" xfId="0" applyFont="1" applyFill="1"/>
    <xf numFmtId="5" fontId="26" fillId="0" borderId="0" xfId="0" applyNumberFormat="1" applyFont="1" applyFill="1" applyBorder="1" applyAlignment="1"/>
    <xf numFmtId="41" fontId="27" fillId="0" borderId="27" xfId="0" applyNumberFormat="1" applyFont="1" applyFill="1" applyBorder="1"/>
    <xf numFmtId="9" fontId="26" fillId="0" borderId="11" xfId="0" applyNumberFormat="1" applyFont="1" applyFill="1" applyBorder="1"/>
    <xf numFmtId="41" fontId="26" fillId="25" borderId="26" xfId="0" applyNumberFormat="1" applyFont="1" applyFill="1" applyBorder="1"/>
    <xf numFmtId="41" fontId="26" fillId="25" borderId="18" xfId="0" applyNumberFormat="1" applyFont="1" applyFill="1" applyBorder="1"/>
    <xf numFmtId="165" fontId="25" fillId="0" borderId="0" xfId="28" applyNumberFormat="1" applyFont="1" applyFill="1"/>
    <xf numFmtId="41" fontId="25" fillId="0" borderId="0" xfId="0" applyNumberFormat="1" applyFont="1" applyFill="1"/>
    <xf numFmtId="166" fontId="26" fillId="0" borderId="0" xfId="42" applyNumberFormat="1" applyFont="1" applyFill="1" applyBorder="1" applyAlignment="1">
      <alignment horizontal="center"/>
    </xf>
    <xf numFmtId="164" fontId="26" fillId="0" borderId="39" xfId="42" applyNumberFormat="1" applyFont="1" applyFill="1" applyBorder="1" applyAlignment="1">
      <alignment horizontal="center"/>
    </xf>
    <xf numFmtId="9" fontId="26" fillId="0" borderId="0" xfId="0" applyNumberFormat="1" applyFont="1" applyFill="1" applyBorder="1"/>
    <xf numFmtId="166" fontId="26" fillId="0" borderId="25" xfId="42" applyNumberFormat="1" applyFont="1" applyFill="1" applyBorder="1" applyAlignment="1">
      <alignment horizontal="center"/>
    </xf>
    <xf numFmtId="5" fontId="27" fillId="0" borderId="40" xfId="0" applyNumberFormat="1" applyFont="1" applyFill="1" applyBorder="1"/>
    <xf numFmtId="5" fontId="27" fillId="26" borderId="40" xfId="0" applyNumberFormat="1" applyFont="1" applyFill="1" applyBorder="1"/>
    <xf numFmtId="43" fontId="26" fillId="0" borderId="0" xfId="28" applyFont="1" applyBorder="1" applyAlignment="1">
      <alignment horizontal="center"/>
    </xf>
    <xf numFmtId="164" fontId="26" fillId="0" borderId="39" xfId="42" applyNumberFormat="1" applyFont="1" applyBorder="1" applyAlignment="1">
      <alignment horizontal="center"/>
    </xf>
    <xf numFmtId="165" fontId="26" fillId="0" borderId="0" xfId="28" applyNumberFormat="1" applyFont="1" applyFill="1" applyBorder="1"/>
    <xf numFmtId="165" fontId="26" fillId="0" borderId="39" xfId="28" applyNumberFormat="1" applyFont="1" applyFill="1" applyBorder="1"/>
    <xf numFmtId="5" fontId="27" fillId="0" borderId="0" xfId="0" applyNumberFormat="1" applyFont="1" applyFill="1" applyBorder="1"/>
    <xf numFmtId="0" fontId="26" fillId="0" borderId="0" xfId="0" applyFont="1" applyFill="1" applyBorder="1"/>
    <xf numFmtId="5" fontId="26" fillId="0" borderId="0" xfId="0" applyNumberFormat="1" applyFont="1" applyFill="1" applyBorder="1"/>
    <xf numFmtId="5" fontId="27" fillId="0" borderId="36" xfId="0" applyNumberFormat="1" applyFont="1" applyFill="1" applyBorder="1"/>
    <xf numFmtId="9" fontId="26" fillId="0" borderId="45" xfId="0" applyNumberFormat="1" applyFont="1" applyBorder="1"/>
    <xf numFmtId="43" fontId="26" fillId="0" borderId="25" xfId="28" applyFont="1" applyBorder="1" applyAlignment="1">
      <alignment horizontal="center"/>
    </xf>
    <xf numFmtId="9" fontId="26" fillId="0" borderId="25" xfId="0" applyNumberFormat="1" applyFont="1" applyBorder="1"/>
    <xf numFmtId="5" fontId="26" fillId="0" borderId="29" xfId="0" applyNumberFormat="1" applyFont="1" applyFill="1" applyBorder="1"/>
    <xf numFmtId="41" fontId="26" fillId="0" borderId="29" xfId="0" applyNumberFormat="1" applyFont="1" applyFill="1" applyBorder="1"/>
    <xf numFmtId="41" fontId="26" fillId="25" borderId="56" xfId="0" applyNumberFormat="1" applyFont="1" applyFill="1" applyBorder="1"/>
    <xf numFmtId="41" fontId="26" fillId="25" borderId="57" xfId="0" applyNumberFormat="1" applyFont="1" applyFill="1" applyBorder="1"/>
    <xf numFmtId="41" fontId="26" fillId="0" borderId="57" xfId="0" applyNumberFormat="1" applyFont="1" applyFill="1" applyBorder="1"/>
    <xf numFmtId="0" fontId="26" fillId="0" borderId="0" xfId="0" applyFont="1" applyFill="1"/>
    <xf numFmtId="0" fontId="23" fillId="0" borderId="0" xfId="0" applyFont="1" applyFill="1"/>
    <xf numFmtId="0" fontId="27" fillId="0" borderId="0" xfId="0" applyFont="1" applyFill="1"/>
    <xf numFmtId="165" fontId="23" fillId="0" borderId="0" xfId="28" applyNumberFormat="1" applyFont="1" applyFill="1"/>
    <xf numFmtId="5" fontId="23" fillId="0" borderId="0" xfId="0" applyNumberFormat="1" applyFont="1" applyFill="1"/>
    <xf numFmtId="165" fontId="24" fillId="0" borderId="0" xfId="0" applyNumberFormat="1" applyFont="1" applyFill="1"/>
    <xf numFmtId="41" fontId="25" fillId="0" borderId="0" xfId="0" applyNumberFormat="1" applyFont="1" applyFill="1" applyBorder="1"/>
    <xf numFmtId="0" fontId="28" fillId="0" borderId="0" xfId="0" applyFont="1" applyAlignment="1">
      <alignment horizontal="center"/>
    </xf>
    <xf numFmtId="0" fontId="26" fillId="0" borderId="50" xfId="0" applyFont="1" applyBorder="1" applyAlignment="1">
      <alignment horizontal="center"/>
    </xf>
    <xf numFmtId="0" fontId="26" fillId="0" borderId="51" xfId="0" applyFont="1" applyBorder="1" applyAlignment="1">
      <alignment horizontal="center"/>
    </xf>
    <xf numFmtId="43" fontId="26" fillId="0" borderId="50" xfId="28" applyFont="1" applyBorder="1" applyAlignment="1">
      <alignment horizontal="center"/>
    </xf>
    <xf numFmtId="43" fontId="26" fillId="0" borderId="49" xfId="28" applyFont="1" applyBorder="1" applyAlignment="1">
      <alignment horizontal="center"/>
    </xf>
    <xf numFmtId="43" fontId="26" fillId="0" borderId="51" xfId="28" applyFont="1" applyBorder="1" applyAlignment="1">
      <alignment horizontal="center"/>
    </xf>
    <xf numFmtId="0" fontId="26" fillId="0" borderId="47" xfId="0" applyFont="1" applyBorder="1" applyAlignment="1">
      <alignment horizontal="center"/>
    </xf>
    <xf numFmtId="0" fontId="26" fillId="0" borderId="48" xfId="0" applyFont="1" applyBorder="1" applyAlignment="1">
      <alignment horizontal="center"/>
    </xf>
    <xf numFmtId="0" fontId="26" fillId="0" borderId="54" xfId="0" applyFont="1" applyBorder="1" applyAlignment="1">
      <alignment horizontal="center"/>
    </xf>
    <xf numFmtId="2" fontId="26" fillId="0" borderId="50" xfId="42" applyNumberFormat="1" applyFont="1" applyBorder="1" applyAlignment="1">
      <alignment horizontal="center"/>
    </xf>
    <xf numFmtId="2" fontId="26" fillId="0" borderId="51" xfId="42" applyNumberFormat="1" applyFont="1" applyBorder="1" applyAlignment="1">
      <alignment horizontal="center"/>
    </xf>
    <xf numFmtId="0" fontId="28" fillId="0" borderId="0" xfId="0" applyFont="1" applyFill="1" applyAlignment="1">
      <alignment horizontal="center"/>
    </xf>
    <xf numFmtId="0" fontId="26" fillId="0" borderId="50" xfId="0" applyFont="1" applyFill="1" applyBorder="1" applyAlignment="1">
      <alignment horizontal="center"/>
    </xf>
    <xf numFmtId="0" fontId="26" fillId="0" borderId="51" xfId="0" applyFont="1" applyFill="1" applyBorder="1" applyAlignment="1">
      <alignment horizontal="center"/>
    </xf>
    <xf numFmtId="43" fontId="26" fillId="0" borderId="50" xfId="28" applyFont="1" applyFill="1" applyBorder="1" applyAlignment="1">
      <alignment horizontal="center"/>
    </xf>
    <xf numFmtId="43" fontId="26" fillId="0" borderId="49" xfId="28" applyFont="1" applyFill="1" applyBorder="1" applyAlignment="1">
      <alignment horizontal="center"/>
    </xf>
    <xf numFmtId="43" fontId="26" fillId="0" borderId="52" xfId="28" applyFont="1" applyFill="1" applyBorder="1" applyAlignment="1">
      <alignment horizontal="center"/>
    </xf>
    <xf numFmtId="0" fontId="26" fillId="0" borderId="47" xfId="0" applyFont="1" applyFill="1" applyBorder="1" applyAlignment="1">
      <alignment horizontal="center"/>
    </xf>
    <xf numFmtId="0" fontId="26" fillId="0" borderId="48" xfId="0" applyFont="1" applyFill="1" applyBorder="1" applyAlignment="1">
      <alignment horizontal="center"/>
    </xf>
    <xf numFmtId="0" fontId="26" fillId="0" borderId="54" xfId="0" applyFont="1" applyFill="1" applyBorder="1" applyAlignment="1">
      <alignment horizont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view="pageBreakPreview" zoomScale="70" zoomScaleNormal="75" zoomScaleSheetLayoutView="70" workbookViewId="0">
      <pane xSplit="1" topLeftCell="B1" activePane="topRight" state="frozen"/>
      <selection pane="topRight" activeCell="K20" sqref="K20"/>
    </sheetView>
  </sheetViews>
  <sheetFormatPr defaultColWidth="9.140625" defaultRowHeight="18" x14ac:dyDescent="0.35"/>
  <cols>
    <col min="1" max="1" width="35.42578125" style="16" customWidth="1"/>
    <col min="2" max="2" width="17.85546875" style="16" bestFit="1" customWidth="1"/>
    <col min="3" max="3" width="15.140625" style="16" bestFit="1" customWidth="1"/>
    <col min="4" max="4" width="17.85546875" style="16" bestFit="1" customWidth="1"/>
    <col min="5" max="5" width="15.28515625" style="16" bestFit="1" customWidth="1"/>
    <col min="6" max="6" width="17.42578125" style="16" bestFit="1" customWidth="1"/>
    <col min="7" max="7" width="14.42578125" style="16" bestFit="1" customWidth="1"/>
    <col min="8" max="8" width="17.140625" style="16" customWidth="1"/>
    <col min="9" max="9" width="14.5703125" style="16" customWidth="1"/>
    <col min="10" max="11" width="17.140625" style="16" customWidth="1"/>
    <col min="12" max="12" width="20.140625" style="16" customWidth="1"/>
    <col min="13" max="13" width="16.140625" style="16" customWidth="1"/>
    <col min="14" max="14" width="17.85546875" style="16" bestFit="1" customWidth="1"/>
    <col min="15" max="15" width="16.28515625" style="16" bestFit="1" customWidth="1"/>
    <col min="16" max="16" width="13" style="16" customWidth="1"/>
    <col min="17" max="17" width="6.5703125" style="14" customWidth="1"/>
    <col min="18" max="16384" width="9.140625" style="14"/>
  </cols>
  <sheetData>
    <row r="1" spans="1:17" s="16" customFormat="1" ht="22.5" x14ac:dyDescent="0.4">
      <c r="A1" s="258" t="s">
        <v>117</v>
      </c>
      <c r="B1" s="258"/>
      <c r="C1" s="258"/>
      <c r="D1" s="258"/>
      <c r="E1" s="258"/>
      <c r="F1" s="258"/>
      <c r="G1" s="258"/>
      <c r="H1" s="258"/>
      <c r="I1" s="258"/>
      <c r="J1" s="258"/>
      <c r="K1" s="258"/>
      <c r="L1" s="258"/>
      <c r="M1" s="258"/>
      <c r="N1" s="258"/>
      <c r="O1" s="258"/>
      <c r="P1" s="258"/>
    </row>
    <row r="2" spans="1:17" s="16" customFormat="1" ht="18.75" thickBot="1" x14ac:dyDescent="0.4">
      <c r="J2" s="35"/>
      <c r="K2" s="35"/>
      <c r="L2" s="35"/>
      <c r="M2" s="35"/>
      <c r="N2" s="35"/>
      <c r="O2" s="35"/>
      <c r="P2" s="35"/>
    </row>
    <row r="3" spans="1:17" s="16" customFormat="1" x14ac:dyDescent="0.35">
      <c r="A3" s="17"/>
      <c r="B3" s="55" t="s">
        <v>100</v>
      </c>
      <c r="C3" s="259" t="s">
        <v>102</v>
      </c>
      <c r="D3" s="260"/>
      <c r="E3" s="264" t="s">
        <v>103</v>
      </c>
      <c r="F3" s="265"/>
      <c r="G3" s="265"/>
      <c r="H3" s="265"/>
      <c r="I3" s="266"/>
      <c r="J3" s="267" t="s">
        <v>102</v>
      </c>
      <c r="K3" s="268"/>
      <c r="L3" s="261" t="s">
        <v>102</v>
      </c>
      <c r="M3" s="262"/>
      <c r="N3" s="263"/>
      <c r="O3" s="78" t="s">
        <v>48</v>
      </c>
      <c r="P3" s="55" t="s">
        <v>15</v>
      </c>
    </row>
    <row r="4" spans="1:17" s="16" customFormat="1" x14ac:dyDescent="0.35">
      <c r="A4" s="18"/>
      <c r="B4" s="56" t="s">
        <v>15</v>
      </c>
      <c r="C4" s="73" t="s">
        <v>70</v>
      </c>
      <c r="D4" s="79" t="s">
        <v>61</v>
      </c>
      <c r="E4" s="92" t="s">
        <v>57</v>
      </c>
      <c r="F4" s="98" t="s">
        <v>45</v>
      </c>
      <c r="G4" s="98" t="s">
        <v>43</v>
      </c>
      <c r="H4" s="98" t="s">
        <v>112</v>
      </c>
      <c r="I4" s="155" t="s">
        <v>60</v>
      </c>
      <c r="J4" s="235" t="s">
        <v>14</v>
      </c>
      <c r="K4" s="244" t="s">
        <v>60</v>
      </c>
      <c r="L4" s="99" t="s">
        <v>15</v>
      </c>
      <c r="M4" s="100" t="s">
        <v>14</v>
      </c>
      <c r="N4" s="101" t="s">
        <v>68</v>
      </c>
      <c r="O4" s="99" t="s">
        <v>15</v>
      </c>
      <c r="P4" s="102" t="s">
        <v>62</v>
      </c>
    </row>
    <row r="5" spans="1:17" s="16" customFormat="1" x14ac:dyDescent="0.35">
      <c r="A5" s="19" t="s">
        <v>0</v>
      </c>
      <c r="B5" s="57" t="s">
        <v>47</v>
      </c>
      <c r="C5" s="74" t="s">
        <v>58</v>
      </c>
      <c r="D5" s="57" t="s">
        <v>44</v>
      </c>
      <c r="E5" s="93" t="s">
        <v>58</v>
      </c>
      <c r="F5" s="103" t="s">
        <v>46</v>
      </c>
      <c r="G5" s="103" t="s">
        <v>46</v>
      </c>
      <c r="H5" s="104" t="s">
        <v>113</v>
      </c>
      <c r="I5" s="163" t="s">
        <v>15</v>
      </c>
      <c r="J5" s="236" t="s">
        <v>66</v>
      </c>
      <c r="K5" s="57" t="s">
        <v>14</v>
      </c>
      <c r="L5" s="105" t="s">
        <v>47</v>
      </c>
      <c r="M5" s="104" t="s">
        <v>47</v>
      </c>
      <c r="N5" s="57" t="s">
        <v>47</v>
      </c>
      <c r="O5" s="105" t="s">
        <v>47</v>
      </c>
      <c r="P5" s="106" t="s">
        <v>63</v>
      </c>
    </row>
    <row r="6" spans="1:17" x14ac:dyDescent="0.35">
      <c r="A6" s="20" t="s">
        <v>101</v>
      </c>
      <c r="B6" s="58"/>
      <c r="C6" s="75"/>
      <c r="D6" s="58"/>
      <c r="E6" s="94"/>
      <c r="F6" s="107"/>
      <c r="G6" s="107"/>
      <c r="H6" s="108"/>
      <c r="I6" s="58"/>
      <c r="J6" s="243"/>
      <c r="K6" s="245"/>
      <c r="L6" s="94"/>
      <c r="M6" s="107"/>
      <c r="N6" s="114"/>
      <c r="O6" s="115"/>
      <c r="P6" s="58"/>
    </row>
    <row r="7" spans="1:17" x14ac:dyDescent="0.35">
      <c r="A7" s="18" t="s">
        <v>1</v>
      </c>
      <c r="B7" s="59">
        <v>58069700</v>
      </c>
      <c r="C7" s="33">
        <v>1733000</v>
      </c>
      <c r="D7" s="59">
        <f t="shared" ref="D7:D12" si="0">SUM(B7:C7)</f>
        <v>59802700</v>
      </c>
      <c r="E7" s="95">
        <v>4306300</v>
      </c>
      <c r="F7" s="108">
        <v>1993900</v>
      </c>
      <c r="G7" s="108">
        <f>147300+367800</f>
        <v>515100</v>
      </c>
      <c r="H7" s="108">
        <f>-62900+-18800+-57900+276000+23900+-5000</f>
        <v>155300</v>
      </c>
      <c r="I7" s="59">
        <v>0</v>
      </c>
      <c r="J7" s="33">
        <v>750000</v>
      </c>
      <c r="K7" s="59">
        <f>723600</f>
        <v>723600</v>
      </c>
      <c r="L7" s="95">
        <f>SUM(D7,E7:I7)</f>
        <v>66773300</v>
      </c>
      <c r="M7" s="108">
        <f>SUM(J7:K7)</f>
        <v>1473600</v>
      </c>
      <c r="N7" s="84">
        <f t="shared" ref="N7:N12" si="1">L7+M7</f>
        <v>68246900</v>
      </c>
      <c r="O7" s="95">
        <f t="shared" ref="O7:O12" si="2">L7-B7</f>
        <v>8703600</v>
      </c>
      <c r="P7" s="56">
        <f>IFERROR((O7/B7),"NA")</f>
        <v>0.14988195220571141</v>
      </c>
      <c r="Q7" s="15"/>
    </row>
    <row r="8" spans="1:17" x14ac:dyDescent="0.35">
      <c r="A8" s="18" t="s">
        <v>2</v>
      </c>
      <c r="B8" s="60">
        <v>78255200</v>
      </c>
      <c r="C8" s="70">
        <v>197000</v>
      </c>
      <c r="D8" s="60">
        <f t="shared" si="0"/>
        <v>78452200</v>
      </c>
      <c r="E8" s="96">
        <v>5570000</v>
      </c>
      <c r="F8" s="109">
        <v>3273500</v>
      </c>
      <c r="G8" s="109">
        <f>277100+677600</f>
        <v>954700</v>
      </c>
      <c r="H8" s="109">
        <f>-101100+-42400+-100600+376900+41700+-11600</f>
        <v>162900</v>
      </c>
      <c r="I8" s="86">
        <v>1000000</v>
      </c>
      <c r="J8" s="70">
        <v>1000000</v>
      </c>
      <c r="K8" s="60">
        <f>1310000</f>
        <v>1310000</v>
      </c>
      <c r="L8" s="96">
        <f t="shared" ref="L8:L12" si="3">SUM(D8,E8:I8)</f>
        <v>89413300</v>
      </c>
      <c r="M8" s="109">
        <f t="shared" ref="M8:M12" si="4">SUM(J8:K8)</f>
        <v>2310000</v>
      </c>
      <c r="N8" s="86">
        <f t="shared" si="1"/>
        <v>91723300</v>
      </c>
      <c r="O8" s="96">
        <f t="shared" si="2"/>
        <v>11158100</v>
      </c>
      <c r="P8" s="56">
        <f>IFERROR((O8/B8),"NA")</f>
        <v>0.14258605178952966</v>
      </c>
    </row>
    <row r="9" spans="1:17" x14ac:dyDescent="0.35">
      <c r="A9" s="18" t="s">
        <v>3</v>
      </c>
      <c r="B9" s="60">
        <v>112926200</v>
      </c>
      <c r="C9" s="70">
        <v>-607300</v>
      </c>
      <c r="D9" s="60">
        <f t="shared" si="0"/>
        <v>112318900</v>
      </c>
      <c r="E9" s="81">
        <v>8087900</v>
      </c>
      <c r="F9" s="85">
        <v>4632700</v>
      </c>
      <c r="G9" s="85">
        <f>341400+838000</f>
        <v>1179400</v>
      </c>
      <c r="H9" s="85">
        <f>-171900+-41100+-125600+619400+47400+-9700</f>
        <v>318500</v>
      </c>
      <c r="I9" s="86">
        <v>0</v>
      </c>
      <c r="J9" s="237">
        <f>2000000+5000000</f>
        <v>7000000</v>
      </c>
      <c r="K9" s="86">
        <v>1674000</v>
      </c>
      <c r="L9" s="81">
        <f t="shared" si="3"/>
        <v>126537400</v>
      </c>
      <c r="M9" s="109">
        <f>SUM(J9:K9)</f>
        <v>8674000</v>
      </c>
      <c r="N9" s="86">
        <f t="shared" si="1"/>
        <v>135211400</v>
      </c>
      <c r="O9" s="96">
        <f t="shared" si="2"/>
        <v>13611200</v>
      </c>
      <c r="P9" s="56">
        <f t="shared" ref="P9:P13" si="5">IFERROR((O9/B9),"NA")</f>
        <v>0.12053181635439783</v>
      </c>
    </row>
    <row r="10" spans="1:17" x14ac:dyDescent="0.35">
      <c r="A10" s="18" t="s">
        <v>4</v>
      </c>
      <c r="B10" s="60">
        <v>43192500</v>
      </c>
      <c r="C10" s="70">
        <v>-1225800</v>
      </c>
      <c r="D10" s="60">
        <f t="shared" si="0"/>
        <v>41966700</v>
      </c>
      <c r="E10" s="81">
        <v>3022100</v>
      </c>
      <c r="F10" s="85">
        <v>2066700</v>
      </c>
      <c r="G10" s="85">
        <f>143100+358800</f>
        <v>501900</v>
      </c>
      <c r="H10" s="85">
        <f>-72400+-23000+-57400+236300+36900+-6600</f>
        <v>113800</v>
      </c>
      <c r="I10" s="86">
        <v>0</v>
      </c>
      <c r="J10" s="237">
        <v>0</v>
      </c>
      <c r="K10" s="86">
        <v>775100</v>
      </c>
      <c r="L10" s="81">
        <f t="shared" si="3"/>
        <v>47671200</v>
      </c>
      <c r="M10" s="109">
        <f t="shared" si="4"/>
        <v>775100</v>
      </c>
      <c r="N10" s="86">
        <f t="shared" si="1"/>
        <v>48446300</v>
      </c>
      <c r="O10" s="96">
        <f t="shared" si="2"/>
        <v>4478700</v>
      </c>
      <c r="P10" s="56">
        <f t="shared" si="5"/>
        <v>0.10369161312727904</v>
      </c>
    </row>
    <row r="11" spans="1:17" x14ac:dyDescent="0.35">
      <c r="A11" s="18" t="s">
        <v>5</v>
      </c>
      <c r="B11" s="60">
        <v>64329000</v>
      </c>
      <c r="C11" s="70">
        <v>-497500</v>
      </c>
      <c r="D11" s="60">
        <f t="shared" si="0"/>
        <v>63831500</v>
      </c>
      <c r="E11" s="81">
        <v>4380400</v>
      </c>
      <c r="F11" s="85">
        <v>2201500</v>
      </c>
      <c r="G11" s="85">
        <f>177100+434000</f>
        <v>611100</v>
      </c>
      <c r="H11" s="85">
        <f>-108400+-17600+-64800+332400+34500+-5300</f>
        <v>170800</v>
      </c>
      <c r="I11" s="86">
        <f>3500000</f>
        <v>3500000</v>
      </c>
      <c r="J11" s="237">
        <f>1200000+1000000+2840000</f>
        <v>5040000</v>
      </c>
      <c r="K11" s="86">
        <v>886200</v>
      </c>
      <c r="L11" s="81">
        <f t="shared" si="3"/>
        <v>74695300</v>
      </c>
      <c r="M11" s="109">
        <f t="shared" si="4"/>
        <v>5926200</v>
      </c>
      <c r="N11" s="86">
        <f t="shared" si="1"/>
        <v>80621500</v>
      </c>
      <c r="O11" s="96">
        <f t="shared" si="2"/>
        <v>10366300</v>
      </c>
      <c r="P11" s="56">
        <f t="shared" si="5"/>
        <v>0.1611450512210667</v>
      </c>
    </row>
    <row r="12" spans="1:17" x14ac:dyDescent="0.35">
      <c r="A12" s="21" t="s">
        <v>55</v>
      </c>
      <c r="B12" s="61">
        <v>133589000</v>
      </c>
      <c r="C12" s="71">
        <v>794600</v>
      </c>
      <c r="D12" s="61">
        <f t="shared" si="0"/>
        <v>134383600</v>
      </c>
      <c r="E12" s="82">
        <v>9676800</v>
      </c>
      <c r="F12" s="87">
        <v>5684700</v>
      </c>
      <c r="G12" s="87">
        <f>339700+849400</f>
        <v>1189100</v>
      </c>
      <c r="H12" s="87">
        <f>-167000+-63800+-134600+534800+111500+-36100</f>
        <v>244800</v>
      </c>
      <c r="I12" s="88">
        <v>0</v>
      </c>
      <c r="J12" s="238">
        <v>50000000</v>
      </c>
      <c r="K12" s="88">
        <v>1955300</v>
      </c>
      <c r="L12" s="82">
        <f t="shared" si="3"/>
        <v>151179000</v>
      </c>
      <c r="M12" s="116">
        <f t="shared" si="4"/>
        <v>51955300</v>
      </c>
      <c r="N12" s="88">
        <f t="shared" si="1"/>
        <v>203134300</v>
      </c>
      <c r="O12" s="117">
        <f t="shared" si="2"/>
        <v>17590000</v>
      </c>
      <c r="P12" s="57">
        <f t="shared" si="5"/>
        <v>0.13167251794683693</v>
      </c>
    </row>
    <row r="13" spans="1:17" s="16" customFormat="1" x14ac:dyDescent="0.35">
      <c r="A13" s="22" t="s">
        <v>6</v>
      </c>
      <c r="B13" s="62">
        <f t="shared" ref="B13:O13" si="6">SUM(B7:B12)</f>
        <v>490361600</v>
      </c>
      <c r="C13" s="72">
        <f>SUM(C7:C12)</f>
        <v>394000</v>
      </c>
      <c r="D13" s="62">
        <f>SUM(D7:D12)</f>
        <v>490755600</v>
      </c>
      <c r="E13" s="91">
        <f t="shared" si="6"/>
        <v>35043500</v>
      </c>
      <c r="F13" s="89">
        <f t="shared" si="6"/>
        <v>19853000</v>
      </c>
      <c r="G13" s="89">
        <f t="shared" si="6"/>
        <v>4951300</v>
      </c>
      <c r="H13" s="89">
        <f>SUM(H7:H12)</f>
        <v>1166100</v>
      </c>
      <c r="I13" s="90">
        <f t="shared" si="6"/>
        <v>4500000</v>
      </c>
      <c r="J13" s="239">
        <f t="shared" si="6"/>
        <v>63790000</v>
      </c>
      <c r="K13" s="90">
        <f t="shared" si="6"/>
        <v>7324200</v>
      </c>
      <c r="L13" s="91">
        <f>SUM(L7:L12)</f>
        <v>556269500</v>
      </c>
      <c r="M13" s="118">
        <f t="shared" si="6"/>
        <v>71114200</v>
      </c>
      <c r="N13" s="90">
        <f t="shared" si="6"/>
        <v>627383700</v>
      </c>
      <c r="O13" s="119">
        <f t="shared" si="6"/>
        <v>65907900</v>
      </c>
      <c r="P13" s="120">
        <f t="shared" si="5"/>
        <v>0.13440673168535219</v>
      </c>
    </row>
    <row r="14" spans="1:17" x14ac:dyDescent="0.35">
      <c r="A14" s="22"/>
      <c r="B14" s="62"/>
      <c r="C14" s="72"/>
      <c r="D14" s="62"/>
      <c r="E14" s="91"/>
      <c r="F14" s="89"/>
      <c r="G14" s="89"/>
      <c r="H14" s="89"/>
      <c r="I14" s="90"/>
      <c r="J14" s="239"/>
      <c r="K14" s="90"/>
      <c r="L14" s="91"/>
      <c r="M14" s="118"/>
      <c r="N14" s="90"/>
      <c r="O14" s="119"/>
      <c r="P14" s="120"/>
    </row>
    <row r="15" spans="1:17" x14ac:dyDescent="0.35">
      <c r="A15" s="20" t="s">
        <v>8</v>
      </c>
      <c r="B15" s="63"/>
      <c r="C15" s="76"/>
      <c r="D15" s="63"/>
      <c r="E15" s="40"/>
      <c r="F15" s="110"/>
      <c r="G15" s="110"/>
      <c r="H15" s="110"/>
      <c r="I15" s="112"/>
      <c r="J15" s="240"/>
      <c r="K15" s="112"/>
      <c r="L15" s="40"/>
      <c r="M15" s="121"/>
      <c r="N15" s="112"/>
      <c r="O15" s="122"/>
      <c r="P15" s="56"/>
    </row>
    <row r="16" spans="1:17" x14ac:dyDescent="0.35">
      <c r="A16" s="18" t="s">
        <v>9</v>
      </c>
      <c r="B16" s="59">
        <v>63908400</v>
      </c>
      <c r="C16" s="33">
        <v>27900</v>
      </c>
      <c r="D16" s="59">
        <f>SUM(B16:C16)</f>
        <v>63936300</v>
      </c>
      <c r="E16" s="80">
        <v>4604000</v>
      </c>
      <c r="F16" s="83">
        <v>2674700</v>
      </c>
      <c r="G16" s="83">
        <f>205300+511600</f>
        <v>716900</v>
      </c>
      <c r="H16" s="83">
        <f>-157600+-42000+-80000+291100+28400+5300</f>
        <v>45200</v>
      </c>
      <c r="I16" s="84">
        <v>0</v>
      </c>
      <c r="J16" s="241">
        <v>500000</v>
      </c>
      <c r="K16" s="84">
        <v>959400</v>
      </c>
      <c r="L16" s="80">
        <f t="shared" ref="L16" si="7">SUM(D16,E16:I16)</f>
        <v>71977100</v>
      </c>
      <c r="M16" s="108">
        <f t="shared" ref="M16:M18" si="8">SUM(J16:K16)</f>
        <v>1459400</v>
      </c>
      <c r="N16" s="84">
        <f>L16+M16</f>
        <v>73436500</v>
      </c>
      <c r="O16" s="95">
        <f>L16-B16</f>
        <v>8068700</v>
      </c>
      <c r="P16" s="56">
        <f t="shared" ref="P16:P19" si="9">IFERROR((O16/B16),"NA")</f>
        <v>0.126254138736066</v>
      </c>
    </row>
    <row r="17" spans="1:16" x14ac:dyDescent="0.35">
      <c r="A17" s="18" t="s">
        <v>10</v>
      </c>
      <c r="B17" s="60">
        <v>265574900</v>
      </c>
      <c r="C17" s="70">
        <f>1193800+698700</f>
        <v>1892500</v>
      </c>
      <c r="D17" s="60">
        <f>SUM(B17:C17)</f>
        <v>267467400</v>
      </c>
      <c r="E17" s="81">
        <v>18993600</v>
      </c>
      <c r="F17" s="85">
        <v>10081900</v>
      </c>
      <c r="G17" s="85">
        <f>638600+1582900</f>
        <v>2221500</v>
      </c>
      <c r="H17" s="85">
        <f>-489000+-131900+-244100+1343400+194500+-29700</f>
        <v>643200</v>
      </c>
      <c r="I17" s="86">
        <v>3968200</v>
      </c>
      <c r="J17" s="237">
        <f>500000+2000000</f>
        <v>2500000</v>
      </c>
      <c r="K17" s="86">
        <v>3425600</v>
      </c>
      <c r="L17" s="81">
        <f>SUM(D17,E17:I17)</f>
        <v>303375800</v>
      </c>
      <c r="M17" s="109">
        <f t="shared" si="8"/>
        <v>5925600</v>
      </c>
      <c r="N17" s="86">
        <f>L17+M17</f>
        <v>309301400</v>
      </c>
      <c r="O17" s="96">
        <f>L17-B17</f>
        <v>37800900</v>
      </c>
      <c r="P17" s="56">
        <f t="shared" si="9"/>
        <v>0.14233611685441658</v>
      </c>
    </row>
    <row r="18" spans="1:16" x14ac:dyDescent="0.35">
      <c r="A18" s="21" t="s">
        <v>11</v>
      </c>
      <c r="B18" s="61">
        <v>36668900</v>
      </c>
      <c r="C18" s="71">
        <v>223600</v>
      </c>
      <c r="D18" s="61">
        <f>SUM(B18:C18)</f>
        <v>36892500</v>
      </c>
      <c r="E18" s="82">
        <v>2610500</v>
      </c>
      <c r="F18" s="87">
        <v>1398700</v>
      </c>
      <c r="G18" s="87">
        <f>120400+305700</f>
        <v>426100</v>
      </c>
      <c r="H18" s="87">
        <f>-90500+-23400+-50100+183700+17100+4800</f>
        <v>41600</v>
      </c>
      <c r="I18" s="88">
        <v>0</v>
      </c>
      <c r="J18" s="238">
        <v>0</v>
      </c>
      <c r="K18" s="88">
        <v>552000</v>
      </c>
      <c r="L18" s="82">
        <f t="shared" ref="L18" si="10">SUM(D18,E18:I18)</f>
        <v>41369400</v>
      </c>
      <c r="M18" s="116">
        <f t="shared" si="8"/>
        <v>552000</v>
      </c>
      <c r="N18" s="88">
        <f>L18+M18</f>
        <v>41921400</v>
      </c>
      <c r="O18" s="117">
        <f>L18-B18</f>
        <v>4700500</v>
      </c>
      <c r="P18" s="57">
        <f t="shared" si="9"/>
        <v>0.12818764675242508</v>
      </c>
    </row>
    <row r="19" spans="1:16" s="16" customFormat="1" x14ac:dyDescent="0.35">
      <c r="A19" s="22" t="s">
        <v>6</v>
      </c>
      <c r="B19" s="62">
        <f t="shared" ref="B19:O19" si="11">SUM(B16:B18)</f>
        <v>366152200</v>
      </c>
      <c r="C19" s="72">
        <f>SUM(C16:C18)</f>
        <v>2144000</v>
      </c>
      <c r="D19" s="62">
        <f>SUM(D16:D18)</f>
        <v>368296200</v>
      </c>
      <c r="E19" s="91">
        <f t="shared" si="11"/>
        <v>26208100</v>
      </c>
      <c r="F19" s="89">
        <f t="shared" si="11"/>
        <v>14155300</v>
      </c>
      <c r="G19" s="89">
        <f t="shared" si="11"/>
        <v>3364500</v>
      </c>
      <c r="H19" s="89">
        <f>SUM(H16:H18)</f>
        <v>730000</v>
      </c>
      <c r="I19" s="90">
        <f t="shared" si="11"/>
        <v>3968200</v>
      </c>
      <c r="J19" s="239">
        <f t="shared" si="11"/>
        <v>3000000</v>
      </c>
      <c r="K19" s="90">
        <f t="shared" si="11"/>
        <v>4937000</v>
      </c>
      <c r="L19" s="91">
        <f>SUM(L16:L18)</f>
        <v>416722300</v>
      </c>
      <c r="M19" s="118">
        <f t="shared" si="11"/>
        <v>7937000</v>
      </c>
      <c r="N19" s="90">
        <f t="shared" si="11"/>
        <v>424659300</v>
      </c>
      <c r="O19" s="119">
        <f t="shared" si="11"/>
        <v>50570100</v>
      </c>
      <c r="P19" s="120">
        <f t="shared" si="9"/>
        <v>0.13811223857182886</v>
      </c>
    </row>
    <row r="20" spans="1:16" x14ac:dyDescent="0.35">
      <c r="A20" s="23"/>
      <c r="B20" s="63"/>
      <c r="C20" s="76"/>
      <c r="D20" s="63"/>
      <c r="E20" s="40"/>
      <c r="F20" s="110"/>
      <c r="G20" s="110"/>
      <c r="H20" s="110"/>
      <c r="I20" s="112"/>
      <c r="J20" s="240"/>
      <c r="K20" s="112"/>
      <c r="L20" s="40"/>
      <c r="M20" s="121"/>
      <c r="N20" s="112"/>
      <c r="O20" s="122"/>
      <c r="P20" s="56"/>
    </row>
    <row r="21" spans="1:16" x14ac:dyDescent="0.35">
      <c r="A21" s="20" t="s">
        <v>56</v>
      </c>
      <c r="B21" s="62">
        <v>321029500</v>
      </c>
      <c r="C21" s="72">
        <v>-1234800</v>
      </c>
      <c r="D21" s="62">
        <f>SUM(B21:C21)</f>
        <v>319794700</v>
      </c>
      <c r="E21" s="91">
        <v>23027900</v>
      </c>
      <c r="F21" s="89">
        <v>10985800</v>
      </c>
      <c r="G21" s="89">
        <f>725600+1751800</f>
        <v>2477400</v>
      </c>
      <c r="H21" s="89">
        <f>-316200+-64100+-250600+1591300+192900+-23600</f>
        <v>1129700</v>
      </c>
      <c r="I21" s="90">
        <v>0</v>
      </c>
      <c r="J21" s="239">
        <v>0</v>
      </c>
      <c r="K21" s="90">
        <v>3791200</v>
      </c>
      <c r="L21" s="91">
        <f>SUM(D21,E21:I21)</f>
        <v>357415500</v>
      </c>
      <c r="M21" s="118">
        <f>SUM(J21:K21)</f>
        <v>3791200</v>
      </c>
      <c r="N21" s="90">
        <f>L21+M21</f>
        <v>361206700</v>
      </c>
      <c r="O21" s="119">
        <f>L21-B21</f>
        <v>36386000</v>
      </c>
      <c r="P21" s="120">
        <f>IFERROR((O21/B21),"NA")</f>
        <v>0.1133416087929614</v>
      </c>
    </row>
    <row r="22" spans="1:16" x14ac:dyDescent="0.35">
      <c r="A22" s="22"/>
      <c r="B22" s="62"/>
      <c r="C22" s="72"/>
      <c r="D22" s="62"/>
      <c r="E22" s="91"/>
      <c r="F22" s="89"/>
      <c r="G22" s="89"/>
      <c r="H22" s="89"/>
      <c r="I22" s="90"/>
      <c r="J22" s="239"/>
      <c r="K22" s="90"/>
      <c r="L22" s="91"/>
      <c r="M22" s="118"/>
      <c r="N22" s="90"/>
      <c r="O22" s="119"/>
      <c r="P22" s="120"/>
    </row>
    <row r="23" spans="1:16" s="16" customFormat="1" x14ac:dyDescent="0.35">
      <c r="A23" s="24" t="s">
        <v>12</v>
      </c>
      <c r="B23" s="62">
        <f t="shared" ref="B23:O23" si="12">B19+B21+B13</f>
        <v>1177543300</v>
      </c>
      <c r="C23" s="72">
        <f>C19+C21+C13</f>
        <v>1303200</v>
      </c>
      <c r="D23" s="62">
        <f>D19+D21+D13</f>
        <v>1178846500</v>
      </c>
      <c r="E23" s="91">
        <f t="shared" si="12"/>
        <v>84279500</v>
      </c>
      <c r="F23" s="89">
        <f t="shared" si="12"/>
        <v>44994100</v>
      </c>
      <c r="G23" s="89">
        <f t="shared" si="12"/>
        <v>10793200</v>
      </c>
      <c r="H23" s="89">
        <f>H19+H21+H13</f>
        <v>3025800</v>
      </c>
      <c r="I23" s="90">
        <f t="shared" si="12"/>
        <v>8468200</v>
      </c>
      <c r="J23" s="239">
        <f>J19+J21+J13</f>
        <v>66790000</v>
      </c>
      <c r="K23" s="90">
        <f>K19+K21+K13</f>
        <v>16052400</v>
      </c>
      <c r="L23" s="91">
        <f>L19+L21+L13</f>
        <v>1330407300</v>
      </c>
      <c r="M23" s="118">
        <f>M19+M21+M13</f>
        <v>82842400</v>
      </c>
      <c r="N23" s="90">
        <f t="shared" si="12"/>
        <v>1413249700</v>
      </c>
      <c r="O23" s="119">
        <f t="shared" si="12"/>
        <v>152864000</v>
      </c>
      <c r="P23" s="120">
        <f>IFERROR((O23/B23),"NA")</f>
        <v>0.12981603309194659</v>
      </c>
    </row>
    <row r="24" spans="1:16" x14ac:dyDescent="0.35">
      <c r="A24" s="18"/>
      <c r="B24" s="63"/>
      <c r="C24" s="76"/>
      <c r="D24" s="63"/>
      <c r="E24" s="40"/>
      <c r="F24" s="110"/>
      <c r="G24" s="110"/>
      <c r="H24" s="110"/>
      <c r="I24" s="112"/>
      <c r="J24" s="240"/>
      <c r="K24" s="112"/>
      <c r="L24" s="40"/>
      <c r="M24" s="121"/>
      <c r="N24" s="112"/>
      <c r="O24" s="122"/>
      <c r="P24" s="56"/>
    </row>
    <row r="25" spans="1:16" x14ac:dyDescent="0.35">
      <c r="A25" s="20" t="s">
        <v>69</v>
      </c>
      <c r="B25" s="62">
        <v>88471700</v>
      </c>
      <c r="C25" s="72">
        <v>-604500</v>
      </c>
      <c r="D25" s="62">
        <f>SUM(B25:C25)</f>
        <v>87867200</v>
      </c>
      <c r="E25" s="91">
        <v>5720500</v>
      </c>
      <c r="F25" s="89">
        <v>2342400</v>
      </c>
      <c r="G25" s="89">
        <f>169800+407000</f>
        <v>576800</v>
      </c>
      <c r="H25" s="89">
        <f>-128700+-10600+-56600+393300+102200+-900</f>
        <v>298700</v>
      </c>
      <c r="I25" s="90">
        <f>8000000+225000</f>
        <v>8225000</v>
      </c>
      <c r="J25" s="239">
        <v>11424000</v>
      </c>
      <c r="K25" s="90">
        <f>785500+375000</f>
        <v>1160500</v>
      </c>
      <c r="L25" s="91">
        <f>SUM(D25,E25:I25)</f>
        <v>105030600</v>
      </c>
      <c r="M25" s="118">
        <f>SUM(J25:K25)</f>
        <v>12584500</v>
      </c>
      <c r="N25" s="90">
        <f>L25+M25</f>
        <v>117615100</v>
      </c>
      <c r="O25" s="119">
        <f>L25-B25</f>
        <v>16558900</v>
      </c>
      <c r="P25" s="120">
        <f>IFERROR((O25/B25),"NA")</f>
        <v>0.18716606553282009</v>
      </c>
    </row>
    <row r="26" spans="1:16" x14ac:dyDescent="0.35">
      <c r="A26" s="18"/>
      <c r="B26" s="63"/>
      <c r="C26" s="76"/>
      <c r="D26" s="63"/>
      <c r="E26" s="40"/>
      <c r="F26" s="110"/>
      <c r="G26" s="110"/>
      <c r="H26" s="110"/>
      <c r="I26" s="112"/>
      <c r="J26" s="240"/>
      <c r="K26" s="112"/>
      <c r="L26" s="40"/>
      <c r="M26" s="121"/>
      <c r="N26" s="112"/>
      <c r="O26" s="122"/>
      <c r="P26" s="56"/>
    </row>
    <row r="27" spans="1:16" s="16" customFormat="1" ht="18.75" thickBot="1" x14ac:dyDescent="0.4">
      <c r="A27" s="25" t="s">
        <v>13</v>
      </c>
      <c r="B27" s="64">
        <f t="shared" ref="B27:I27" si="13">B23+B25</f>
        <v>1266015000</v>
      </c>
      <c r="C27" s="77">
        <f t="shared" si="13"/>
        <v>698700</v>
      </c>
      <c r="D27" s="64">
        <f>D23+D25</f>
        <v>1266713700</v>
      </c>
      <c r="E27" s="97">
        <f t="shared" si="13"/>
        <v>90000000</v>
      </c>
      <c r="F27" s="111">
        <f t="shared" si="13"/>
        <v>47336500</v>
      </c>
      <c r="G27" s="111">
        <f t="shared" si="13"/>
        <v>11370000</v>
      </c>
      <c r="H27" s="111">
        <f>H23+H25</f>
        <v>3324500</v>
      </c>
      <c r="I27" s="113">
        <f t="shared" si="13"/>
        <v>16693200</v>
      </c>
      <c r="J27" s="242">
        <f t="shared" ref="J27:O27" si="14">J23+J25</f>
        <v>78214000</v>
      </c>
      <c r="K27" s="113">
        <f t="shared" si="14"/>
        <v>17212900</v>
      </c>
      <c r="L27" s="97">
        <f t="shared" si="14"/>
        <v>1435437900</v>
      </c>
      <c r="M27" s="123">
        <f t="shared" si="14"/>
        <v>95426900</v>
      </c>
      <c r="N27" s="113">
        <f t="shared" si="14"/>
        <v>1530864800</v>
      </c>
      <c r="O27" s="124">
        <f t="shared" si="14"/>
        <v>169422900</v>
      </c>
      <c r="P27" s="125">
        <f>IFERROR((O27/B27),"NA")</f>
        <v>0.13382376986054667</v>
      </c>
    </row>
    <row r="28" spans="1:16" x14ac:dyDescent="0.35">
      <c r="A28" s="26"/>
      <c r="B28" s="65"/>
      <c r="C28" s="65"/>
      <c r="D28" s="65"/>
      <c r="E28" s="65"/>
      <c r="F28" s="65"/>
      <c r="G28" s="65"/>
      <c r="H28" s="65"/>
      <c r="I28" s="65"/>
      <c r="J28" s="65"/>
      <c r="K28" s="65"/>
      <c r="L28" s="65"/>
      <c r="M28" s="65"/>
      <c r="N28" s="65"/>
      <c r="O28" s="65"/>
      <c r="P28" s="126"/>
    </row>
    <row r="29" spans="1:16" x14ac:dyDescent="0.35">
      <c r="A29" s="27"/>
      <c r="B29" s="27"/>
      <c r="C29" s="27"/>
      <c r="D29" s="27"/>
      <c r="E29" s="27"/>
      <c r="F29" s="27"/>
      <c r="G29" s="66"/>
      <c r="H29" s="27"/>
      <c r="I29" s="27"/>
      <c r="J29" s="27"/>
      <c r="K29" s="27"/>
      <c r="L29" s="27"/>
      <c r="M29" s="27"/>
      <c r="N29" s="27"/>
      <c r="O29" s="27"/>
      <c r="P29" s="27"/>
    </row>
    <row r="30" spans="1:16" x14ac:dyDescent="0.35">
      <c r="A30" s="27"/>
      <c r="B30" s="66"/>
      <c r="C30" s="66"/>
      <c r="D30" s="66"/>
      <c r="E30" s="66"/>
      <c r="F30" s="66"/>
      <c r="G30" s="66"/>
      <c r="H30" s="66"/>
      <c r="I30" s="66"/>
      <c r="J30" s="66"/>
      <c r="K30" s="66"/>
      <c r="L30" s="66"/>
      <c r="M30" s="66"/>
      <c r="N30" s="66"/>
      <c r="O30" s="66"/>
      <c r="P30" s="27"/>
    </row>
    <row r="31" spans="1:16" x14ac:dyDescent="0.35">
      <c r="A31" s="27"/>
      <c r="B31" s="66"/>
      <c r="C31" s="66"/>
      <c r="D31" s="66"/>
      <c r="E31" s="66"/>
      <c r="F31" s="66"/>
      <c r="G31" s="66"/>
      <c r="H31" s="66"/>
      <c r="I31" s="66"/>
      <c r="J31" s="66"/>
      <c r="K31" s="66"/>
      <c r="L31" s="66"/>
      <c r="M31" s="66"/>
      <c r="N31" s="66"/>
      <c r="O31" s="66"/>
      <c r="P31" s="27"/>
    </row>
    <row r="32" spans="1:16" x14ac:dyDescent="0.35">
      <c r="A32" s="28" t="s">
        <v>8</v>
      </c>
      <c r="B32" s="67">
        <f t="shared" ref="B32:F32" si="15">SUM(B16:B18)</f>
        <v>366152200</v>
      </c>
      <c r="C32" s="67">
        <f t="shared" si="15"/>
        <v>2144000</v>
      </c>
      <c r="D32" s="67">
        <f>SUM(D16:D18)</f>
        <v>368296200</v>
      </c>
      <c r="E32" s="67">
        <f t="shared" si="15"/>
        <v>26208100</v>
      </c>
      <c r="F32" s="67">
        <f t="shared" si="15"/>
        <v>14155300</v>
      </c>
      <c r="G32" s="67">
        <f>SUM(G16:G18)</f>
        <v>3364500</v>
      </c>
      <c r="H32" s="67">
        <f>SUM(H16:H18)</f>
        <v>730000</v>
      </c>
      <c r="I32" s="67">
        <f t="shared" ref="I32:O32" si="16">SUM(I16:I18)</f>
        <v>3968200</v>
      </c>
      <c r="J32" s="67">
        <f t="shared" si="16"/>
        <v>3000000</v>
      </c>
      <c r="K32" s="67">
        <f t="shared" ref="K32" si="17">SUM(K16:K18)</f>
        <v>4937000</v>
      </c>
      <c r="L32" s="67">
        <f t="shared" si="16"/>
        <v>416722300</v>
      </c>
      <c r="M32" s="67">
        <f t="shared" si="16"/>
        <v>7937000</v>
      </c>
      <c r="N32" s="67">
        <f t="shared" si="16"/>
        <v>424659300</v>
      </c>
      <c r="O32" s="127">
        <f t="shared" si="16"/>
        <v>50570100</v>
      </c>
      <c r="P32" s="32"/>
    </row>
    <row r="33" spans="1:16" x14ac:dyDescent="0.35">
      <c r="A33" s="29" t="s">
        <v>118</v>
      </c>
      <c r="B33" s="68">
        <f>B13</f>
        <v>490361600</v>
      </c>
      <c r="C33" s="68">
        <f t="shared" ref="C33:O33" si="18">C13</f>
        <v>394000</v>
      </c>
      <c r="D33" s="68">
        <f t="shared" si="18"/>
        <v>490755600</v>
      </c>
      <c r="E33" s="68">
        <f t="shared" si="18"/>
        <v>35043500</v>
      </c>
      <c r="F33" s="68">
        <f t="shared" si="18"/>
        <v>19853000</v>
      </c>
      <c r="G33" s="68">
        <f t="shared" si="18"/>
        <v>4951300</v>
      </c>
      <c r="H33" s="68">
        <f t="shared" si="18"/>
        <v>1166100</v>
      </c>
      <c r="I33" s="68">
        <f t="shared" si="18"/>
        <v>4500000</v>
      </c>
      <c r="J33" s="68">
        <f t="shared" si="18"/>
        <v>63790000</v>
      </c>
      <c r="K33" s="68">
        <f t="shared" ref="K33" si="19">K13</f>
        <v>7324200</v>
      </c>
      <c r="L33" s="68">
        <f t="shared" si="18"/>
        <v>556269500</v>
      </c>
      <c r="M33" s="68">
        <f t="shared" si="18"/>
        <v>71114200</v>
      </c>
      <c r="N33" s="68">
        <f t="shared" si="18"/>
        <v>627383700</v>
      </c>
      <c r="O33" s="128">
        <f t="shared" si="18"/>
        <v>65907900</v>
      </c>
      <c r="P33" s="32"/>
    </row>
    <row r="34" spans="1:16" x14ac:dyDescent="0.35">
      <c r="A34" s="30" t="s">
        <v>119</v>
      </c>
      <c r="B34" s="69">
        <f>SUM(B21,B25)</f>
        <v>409501200</v>
      </c>
      <c r="C34" s="69">
        <f t="shared" ref="C34:O34" si="20">SUM(C21,C25)</f>
        <v>-1839300</v>
      </c>
      <c r="D34" s="69">
        <f t="shared" si="20"/>
        <v>407661900</v>
      </c>
      <c r="E34" s="69">
        <f t="shared" si="20"/>
        <v>28748400</v>
      </c>
      <c r="F34" s="69">
        <f t="shared" si="20"/>
        <v>13328200</v>
      </c>
      <c r="G34" s="69">
        <f t="shared" si="20"/>
        <v>3054200</v>
      </c>
      <c r="H34" s="69">
        <f t="shared" si="20"/>
        <v>1428400</v>
      </c>
      <c r="I34" s="69">
        <f t="shared" si="20"/>
        <v>8225000</v>
      </c>
      <c r="J34" s="69">
        <f t="shared" si="20"/>
        <v>11424000</v>
      </c>
      <c r="K34" s="69">
        <f t="shared" ref="K34" si="21">SUM(K21,K25)</f>
        <v>4951700</v>
      </c>
      <c r="L34" s="69">
        <f t="shared" si="20"/>
        <v>462446100</v>
      </c>
      <c r="M34" s="69">
        <f t="shared" si="20"/>
        <v>16375700</v>
      </c>
      <c r="N34" s="69">
        <f t="shared" si="20"/>
        <v>478821800</v>
      </c>
      <c r="O34" s="129">
        <f t="shared" si="20"/>
        <v>52944900</v>
      </c>
      <c r="P34" s="32"/>
    </row>
    <row r="35" spans="1:16" x14ac:dyDescent="0.35">
      <c r="A35" s="31"/>
      <c r="B35" s="68">
        <f>B34+B33+B32-B27</f>
        <v>0</v>
      </c>
      <c r="C35" s="68">
        <f t="shared" ref="C35:O35" si="22">C34+C33+C32-C27</f>
        <v>0</v>
      </c>
      <c r="D35" s="68">
        <f t="shared" si="22"/>
        <v>0</v>
      </c>
      <c r="E35" s="68">
        <f t="shared" si="22"/>
        <v>0</v>
      </c>
      <c r="F35" s="68">
        <f t="shared" si="22"/>
        <v>0</v>
      </c>
      <c r="G35" s="68">
        <f t="shared" si="22"/>
        <v>0</v>
      </c>
      <c r="H35" s="68">
        <f t="shared" si="22"/>
        <v>0</v>
      </c>
      <c r="I35" s="68">
        <f t="shared" si="22"/>
        <v>0</v>
      </c>
      <c r="J35" s="68">
        <f t="shared" si="22"/>
        <v>0</v>
      </c>
      <c r="K35" s="68">
        <f t="shared" si="22"/>
        <v>0</v>
      </c>
      <c r="L35" s="68">
        <f t="shared" si="22"/>
        <v>0</v>
      </c>
      <c r="M35" s="68">
        <f t="shared" si="22"/>
        <v>0</v>
      </c>
      <c r="N35" s="68">
        <f t="shared" si="22"/>
        <v>0</v>
      </c>
      <c r="O35" s="68">
        <f t="shared" si="22"/>
        <v>0</v>
      </c>
      <c r="P35" s="32"/>
    </row>
    <row r="36" spans="1:16" x14ac:dyDescent="0.35">
      <c r="A36" s="31"/>
      <c r="B36" s="68"/>
      <c r="C36" s="68"/>
      <c r="D36" s="68"/>
      <c r="E36" s="68"/>
      <c r="F36" s="68"/>
      <c r="G36" s="68"/>
      <c r="H36" s="68"/>
      <c r="I36" s="68"/>
      <c r="J36" s="68"/>
      <c r="K36" s="68"/>
      <c r="L36" s="68"/>
      <c r="M36" s="68"/>
      <c r="N36" s="68"/>
      <c r="O36" s="68"/>
      <c r="P36" s="32"/>
    </row>
    <row r="37" spans="1:16" x14ac:dyDescent="0.35">
      <c r="A37" s="32"/>
      <c r="B37" s="32"/>
      <c r="C37" s="32"/>
      <c r="D37" s="32"/>
      <c r="E37" s="32"/>
      <c r="F37" s="32"/>
      <c r="G37" s="32"/>
      <c r="H37" s="32"/>
      <c r="I37" s="32"/>
      <c r="J37" s="32"/>
      <c r="K37" s="32"/>
      <c r="L37" s="32"/>
      <c r="M37" s="32"/>
      <c r="N37" s="32"/>
      <c r="O37" s="32"/>
      <c r="P37" s="32"/>
    </row>
    <row r="38" spans="1:16" x14ac:dyDescent="0.35">
      <c r="A38" s="32"/>
      <c r="B38" s="32"/>
      <c r="C38" s="32"/>
      <c r="D38" s="32"/>
      <c r="E38" s="32"/>
      <c r="F38" s="32"/>
      <c r="G38" s="32"/>
      <c r="H38" s="32"/>
      <c r="I38" s="32"/>
      <c r="J38" s="32"/>
      <c r="K38" s="32"/>
      <c r="L38" s="32"/>
      <c r="M38" s="32"/>
      <c r="N38" s="32"/>
      <c r="O38" s="32"/>
      <c r="P38" s="32"/>
    </row>
    <row r="39" spans="1:16" x14ac:dyDescent="0.35">
      <c r="A39" s="32"/>
      <c r="B39" s="32"/>
      <c r="C39" s="32"/>
      <c r="D39" s="32"/>
      <c r="E39" s="32"/>
      <c r="F39" s="32"/>
      <c r="G39" s="32"/>
      <c r="H39" s="32"/>
      <c r="I39" s="32"/>
      <c r="J39" s="32"/>
      <c r="K39" s="32"/>
      <c r="L39" s="32"/>
      <c r="M39" s="32"/>
      <c r="N39" s="32"/>
      <c r="O39" s="32"/>
      <c r="P39" s="32"/>
    </row>
    <row r="40" spans="1:16" x14ac:dyDescent="0.35">
      <c r="A40" s="32"/>
      <c r="B40" s="32"/>
      <c r="C40" s="32"/>
      <c r="D40" s="32"/>
      <c r="E40" s="32"/>
      <c r="F40" s="32"/>
      <c r="G40" s="32"/>
      <c r="H40" s="32"/>
      <c r="I40" s="32"/>
      <c r="J40" s="32"/>
      <c r="K40" s="32"/>
      <c r="L40" s="32"/>
      <c r="M40" s="32"/>
      <c r="N40" s="32"/>
      <c r="O40" s="32"/>
      <c r="P40" s="32"/>
    </row>
    <row r="41" spans="1:16" x14ac:dyDescent="0.35">
      <c r="A41" s="32"/>
      <c r="B41" s="32"/>
      <c r="C41" s="32"/>
      <c r="D41" s="32"/>
      <c r="E41" s="32"/>
      <c r="F41" s="32"/>
      <c r="G41" s="32"/>
      <c r="H41" s="32"/>
      <c r="I41" s="32"/>
      <c r="J41" s="32"/>
      <c r="K41" s="32"/>
      <c r="L41" s="32"/>
      <c r="M41" s="32"/>
      <c r="N41" s="32"/>
      <c r="O41" s="32"/>
      <c r="P41" s="32"/>
    </row>
    <row r="42" spans="1:16" x14ac:dyDescent="0.35">
      <c r="A42" s="32"/>
      <c r="B42" s="32"/>
      <c r="C42" s="32"/>
      <c r="D42" s="32"/>
      <c r="E42" s="32"/>
      <c r="F42" s="32"/>
      <c r="G42" s="32"/>
      <c r="H42" s="32"/>
      <c r="I42" s="32"/>
      <c r="J42" s="32"/>
      <c r="K42" s="32"/>
      <c r="L42" s="32"/>
      <c r="M42" s="32"/>
      <c r="N42" s="32"/>
      <c r="O42" s="32"/>
      <c r="P42" s="32"/>
    </row>
  </sheetData>
  <mergeCells count="5">
    <mergeCell ref="A1:P1"/>
    <mergeCell ref="C3:D3"/>
    <mergeCell ref="L3:N3"/>
    <mergeCell ref="E3:I3"/>
    <mergeCell ref="J3:K3"/>
  </mergeCells>
  <phoneticPr fontId="20" type="noConversion"/>
  <printOptions horizontalCentered="1"/>
  <pageMargins left="0.25" right="0.25" top="0.75" bottom="0.75" header="0.3" footer="0.3"/>
  <pageSetup paperSize="17" scale="75" orientation="landscape" r:id="rId1"/>
  <headerFooter alignWithMargins="0"/>
  <ignoredErrors>
    <ignoredError sqref="L22 L24 M7:M12 M16:M18 M21 M25"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97"/>
  <sheetViews>
    <sheetView view="pageBreakPreview" zoomScale="60" zoomScaleNormal="75" workbookViewId="0">
      <pane xSplit="1" ySplit="5" topLeftCell="B6" activePane="bottomRight" state="frozen"/>
      <selection pane="topRight" activeCell="B1" sqref="B1"/>
      <selection pane="bottomLeft" activeCell="A6" sqref="A6"/>
      <selection pane="bottomRight" activeCell="F70" sqref="F70"/>
    </sheetView>
  </sheetViews>
  <sheetFormatPr defaultColWidth="9.140625" defaultRowHeight="18" x14ac:dyDescent="0.35"/>
  <cols>
    <col min="1" max="1" width="71.28515625" style="34" customWidth="1"/>
    <col min="2" max="2" width="22.140625" style="34" bestFit="1" customWidth="1"/>
    <col min="3" max="3" width="15.7109375" style="34" bestFit="1" customWidth="1"/>
    <col min="4" max="4" width="20.42578125" style="34" bestFit="1" customWidth="1"/>
    <col min="5" max="6" width="18.140625" style="34" bestFit="1" customWidth="1"/>
    <col min="7" max="7" width="16.7109375" style="34" bestFit="1" customWidth="1"/>
    <col min="8" max="8" width="16.42578125" style="34" customWidth="1"/>
    <col min="9" max="9" width="17" style="34" customWidth="1"/>
    <col min="10" max="10" width="18.42578125" style="34" bestFit="1" customWidth="1"/>
    <col min="11" max="11" width="18.42578125" style="34" customWidth="1"/>
    <col min="12" max="12" width="21.85546875" style="2" bestFit="1" customWidth="1"/>
    <col min="13" max="13" width="18.42578125" style="2" bestFit="1" customWidth="1"/>
    <col min="14" max="14" width="22.140625" style="2" bestFit="1" customWidth="1"/>
    <col min="15" max="15" width="18.42578125" style="2" bestFit="1" customWidth="1"/>
    <col min="16" max="16" width="16.7109375" style="2" bestFit="1" customWidth="1"/>
    <col min="17" max="17" width="22.7109375" style="34" bestFit="1" customWidth="1"/>
    <col min="18" max="18" width="4.140625" style="34" customWidth="1"/>
    <col min="19" max="19" width="12.85546875" style="2" bestFit="1" customWidth="1"/>
    <col min="20" max="21" width="9.140625" style="2"/>
    <col min="22" max="22" width="36.42578125" style="2" bestFit="1" customWidth="1"/>
    <col min="23" max="16384" width="9.140625" style="2"/>
  </cols>
  <sheetData>
    <row r="1" spans="1:18" s="34" customFormat="1" ht="22.5" x14ac:dyDescent="0.4">
      <c r="A1" s="269" t="str">
        <f>'2022-23 Form Distr'!A1:P1</f>
        <v>2022-23 Work Program - FINAL</v>
      </c>
      <c r="B1" s="269"/>
      <c r="C1" s="269"/>
      <c r="D1" s="269"/>
      <c r="E1" s="269"/>
      <c r="F1" s="269"/>
      <c r="G1" s="269"/>
      <c r="H1" s="269"/>
      <c r="I1" s="269"/>
      <c r="J1" s="269"/>
      <c r="K1" s="269"/>
      <c r="L1" s="269"/>
      <c r="M1" s="269"/>
      <c r="N1" s="269"/>
      <c r="O1" s="269"/>
      <c r="P1" s="269"/>
    </row>
    <row r="2" spans="1:18" s="34" customFormat="1" ht="18.75" thickBot="1" x14ac:dyDescent="0.4">
      <c r="G2" s="53"/>
      <c r="L2" s="54"/>
      <c r="M2" s="54"/>
      <c r="N2" s="54"/>
      <c r="O2" s="54"/>
      <c r="P2" s="54"/>
    </row>
    <row r="3" spans="1:18" s="34" customFormat="1" x14ac:dyDescent="0.35">
      <c r="A3" s="36"/>
      <c r="B3" s="130" t="str">
        <f>'2022-23 Form Distr'!B3</f>
        <v>2021-22</v>
      </c>
      <c r="C3" s="270" t="s">
        <v>102</v>
      </c>
      <c r="D3" s="271"/>
      <c r="E3" s="275" t="s">
        <v>103</v>
      </c>
      <c r="F3" s="276"/>
      <c r="G3" s="276"/>
      <c r="H3" s="276"/>
      <c r="I3" s="277"/>
      <c r="J3" s="270" t="s">
        <v>102</v>
      </c>
      <c r="K3" s="271"/>
      <c r="L3" s="272" t="s">
        <v>102</v>
      </c>
      <c r="M3" s="273"/>
      <c r="N3" s="274"/>
      <c r="O3" s="152" t="s">
        <v>48</v>
      </c>
      <c r="P3" s="153"/>
    </row>
    <row r="4" spans="1:18" s="34" customFormat="1" x14ac:dyDescent="0.35">
      <c r="A4" s="37"/>
      <c r="B4" s="131" t="s">
        <v>15</v>
      </c>
      <c r="C4" s="154" t="s">
        <v>73</v>
      </c>
      <c r="D4" s="155" t="s">
        <v>61</v>
      </c>
      <c r="E4" s="156" t="s">
        <v>57</v>
      </c>
      <c r="F4" s="157" t="s">
        <v>45</v>
      </c>
      <c r="G4" s="157" t="s">
        <v>43</v>
      </c>
      <c r="H4" s="158" t="s">
        <v>112</v>
      </c>
      <c r="I4" s="155" t="s">
        <v>60</v>
      </c>
      <c r="J4" s="229" t="s">
        <v>14</v>
      </c>
      <c r="K4" s="232" t="s">
        <v>60</v>
      </c>
      <c r="L4" s="159" t="s">
        <v>15</v>
      </c>
      <c r="M4" s="160" t="s">
        <v>14</v>
      </c>
      <c r="N4" s="160" t="s">
        <v>68</v>
      </c>
      <c r="O4" s="160" t="s">
        <v>15</v>
      </c>
      <c r="P4" s="161" t="s">
        <v>15</v>
      </c>
    </row>
    <row r="5" spans="1:18" s="34" customFormat="1" x14ac:dyDescent="0.35">
      <c r="A5" s="38" t="s">
        <v>17</v>
      </c>
      <c r="B5" s="132" t="s">
        <v>47</v>
      </c>
      <c r="C5" s="162" t="s">
        <v>72</v>
      </c>
      <c r="D5" s="163" t="s">
        <v>44</v>
      </c>
      <c r="E5" s="164" t="s">
        <v>58</v>
      </c>
      <c r="F5" s="165" t="s">
        <v>46</v>
      </c>
      <c r="G5" s="165" t="s">
        <v>46</v>
      </c>
      <c r="H5" s="166" t="s">
        <v>113</v>
      </c>
      <c r="I5" s="163" t="s">
        <v>15</v>
      </c>
      <c r="J5" s="230" t="s">
        <v>66</v>
      </c>
      <c r="K5" s="163" t="s">
        <v>14</v>
      </c>
      <c r="L5" s="162" t="s">
        <v>47</v>
      </c>
      <c r="M5" s="166" t="s">
        <v>47</v>
      </c>
      <c r="N5" s="166" t="s">
        <v>47</v>
      </c>
      <c r="O5" s="166" t="s">
        <v>47</v>
      </c>
      <c r="P5" s="167" t="s">
        <v>16</v>
      </c>
    </row>
    <row r="6" spans="1:18" x14ac:dyDescent="0.35">
      <c r="A6" s="39" t="s">
        <v>18</v>
      </c>
      <c r="B6" s="133"/>
      <c r="C6" s="168"/>
      <c r="D6" s="181"/>
      <c r="E6" s="208"/>
      <c r="F6" s="224"/>
      <c r="G6" s="224"/>
      <c r="H6" s="83"/>
      <c r="I6" s="181"/>
      <c r="J6" s="231"/>
      <c r="K6" s="181"/>
      <c r="L6" s="5"/>
      <c r="M6" s="5"/>
      <c r="N6" s="5"/>
      <c r="O6" s="5"/>
      <c r="P6" s="6"/>
    </row>
    <row r="7" spans="1:18" s="34" customFormat="1" x14ac:dyDescent="0.35">
      <c r="A7" s="37" t="s">
        <v>19</v>
      </c>
      <c r="B7" s="133">
        <v>40577400</v>
      </c>
      <c r="C7" s="168">
        <v>0</v>
      </c>
      <c r="D7" s="84">
        <f>SUM(B7:C7)</f>
        <v>40577400</v>
      </c>
      <c r="E7" s="168">
        <v>901300</v>
      </c>
      <c r="F7" s="83">
        <v>2211600</v>
      </c>
      <c r="G7" s="83">
        <f>59700+142300</f>
        <v>202000</v>
      </c>
      <c r="H7" s="83">
        <f>-21000+-9300+-19500+88800+-2700</f>
        <v>36300</v>
      </c>
      <c r="I7" s="84">
        <v>0</v>
      </c>
      <c r="J7" s="133">
        <v>0</v>
      </c>
      <c r="K7" s="84">
        <v>314800</v>
      </c>
      <c r="L7" s="83">
        <f>SUM(D7,E7:I7)</f>
        <v>43928600</v>
      </c>
      <c r="M7" s="83">
        <f>SUM(J7:K7)</f>
        <v>314800</v>
      </c>
      <c r="N7" s="83">
        <f>L7+M7</f>
        <v>44243400</v>
      </c>
      <c r="O7" s="83">
        <f>L7-B7</f>
        <v>3351200</v>
      </c>
      <c r="P7" s="173">
        <f>IFERROR((O7/B7),"NA")</f>
        <v>8.2587844465145624E-2</v>
      </c>
      <c r="Q7" s="198"/>
      <c r="R7" s="53"/>
    </row>
    <row r="8" spans="1:18" s="34" customFormat="1" x14ac:dyDescent="0.35">
      <c r="A8" s="37" t="s">
        <v>20</v>
      </c>
      <c r="B8" s="134">
        <v>8577200</v>
      </c>
      <c r="C8" s="170">
        <v>0</v>
      </c>
      <c r="D8" s="171">
        <f t="shared" ref="D8" si="0">SUM(B8:C8)</f>
        <v>8577200</v>
      </c>
      <c r="E8" s="170">
        <v>30500</v>
      </c>
      <c r="F8" s="172">
        <v>620400</v>
      </c>
      <c r="G8" s="172">
        <f>10600+25800</f>
        <v>36400</v>
      </c>
      <c r="H8" s="172">
        <f>-3100+-1200+-3800+17100+2100</f>
        <v>11100</v>
      </c>
      <c r="I8" s="171">
        <v>0</v>
      </c>
      <c r="J8" s="134">
        <v>0</v>
      </c>
      <c r="K8" s="171">
        <v>86500</v>
      </c>
      <c r="L8" s="172">
        <f t="shared" ref="L8:L10" si="1">SUM(D8,E8:I8)</f>
        <v>9275600</v>
      </c>
      <c r="M8" s="172">
        <f t="shared" ref="M8:M10" si="2">SUM(J8:K8)</f>
        <v>86500</v>
      </c>
      <c r="N8" s="172">
        <f t="shared" ref="N8" si="3">L8+M8</f>
        <v>9362100</v>
      </c>
      <c r="O8" s="172">
        <f>L8-B8</f>
        <v>698400</v>
      </c>
      <c r="P8" s="173">
        <f t="shared" ref="P8:P10" si="4">IFERROR((O8/B8),"NA")</f>
        <v>8.1425173716364319E-2</v>
      </c>
    </row>
    <row r="9" spans="1:18" s="34" customFormat="1" x14ac:dyDescent="0.35">
      <c r="A9" s="40" t="s">
        <v>51</v>
      </c>
      <c r="B9" s="134">
        <v>24129000</v>
      </c>
      <c r="C9" s="170">
        <v>0</v>
      </c>
      <c r="D9" s="171">
        <f>SUM(B9:C9)</f>
        <v>24129000</v>
      </c>
      <c r="E9" s="170">
        <v>314300</v>
      </c>
      <c r="F9" s="172">
        <v>1520800</v>
      </c>
      <c r="G9" s="172">
        <f>64900+158200</f>
        <v>223100</v>
      </c>
      <c r="H9" s="172">
        <f>-52000+-14900+-23300+119800+6900+6300</f>
        <v>42800</v>
      </c>
      <c r="I9" s="171">
        <f>2900000</f>
        <v>2900000</v>
      </c>
      <c r="J9" s="134">
        <v>0</v>
      </c>
      <c r="K9" s="171">
        <v>294700</v>
      </c>
      <c r="L9" s="172">
        <f t="shared" si="1"/>
        <v>29130000</v>
      </c>
      <c r="M9" s="172">
        <f t="shared" si="2"/>
        <v>294700</v>
      </c>
      <c r="N9" s="172">
        <f>L9+M9</f>
        <v>29424700</v>
      </c>
      <c r="O9" s="172">
        <f>L9-B9</f>
        <v>5001000</v>
      </c>
      <c r="P9" s="173">
        <f t="shared" si="4"/>
        <v>0.20726097227402709</v>
      </c>
    </row>
    <row r="10" spans="1:18" s="34" customFormat="1" x14ac:dyDescent="0.35">
      <c r="A10" s="38" t="s">
        <v>79</v>
      </c>
      <c r="B10" s="134">
        <v>177089400</v>
      </c>
      <c r="C10" s="170">
        <f>59576300-10929900-48646400</f>
        <v>0</v>
      </c>
      <c r="D10" s="171">
        <f>SUM(B10:C10)</f>
        <v>177089400</v>
      </c>
      <c r="E10" s="170">
        <v>3978900</v>
      </c>
      <c r="F10" s="172">
        <v>8508200</v>
      </c>
      <c r="G10" s="172">
        <f>455200+1138900</f>
        <v>1594100</v>
      </c>
      <c r="H10" s="172">
        <f>-393500+-121900+-179500+608500+68400+-1700</f>
        <v>-19700</v>
      </c>
      <c r="I10" s="171">
        <v>0</v>
      </c>
      <c r="J10" s="134">
        <v>0</v>
      </c>
      <c r="K10" s="171">
        <v>1483000</v>
      </c>
      <c r="L10" s="172">
        <f t="shared" si="1"/>
        <v>191150900</v>
      </c>
      <c r="M10" s="172">
        <f t="shared" si="2"/>
        <v>1483000</v>
      </c>
      <c r="N10" s="172">
        <f>L10+M10</f>
        <v>192633900</v>
      </c>
      <c r="O10" s="172">
        <f>L10-B10</f>
        <v>14061500</v>
      </c>
      <c r="P10" s="173">
        <f t="shared" si="4"/>
        <v>7.9403397380080343E-2</v>
      </c>
    </row>
    <row r="11" spans="1:18" s="34" customFormat="1" x14ac:dyDescent="0.35">
      <c r="A11" s="41" t="s">
        <v>6</v>
      </c>
      <c r="B11" s="135">
        <f t="shared" ref="B11:O11" si="5">SUM(B7:B10)</f>
        <v>250373000</v>
      </c>
      <c r="C11" s="194">
        <f t="shared" si="5"/>
        <v>0</v>
      </c>
      <c r="D11" s="182">
        <f t="shared" si="5"/>
        <v>250373000</v>
      </c>
      <c r="E11" s="194">
        <f t="shared" si="5"/>
        <v>5225000</v>
      </c>
      <c r="F11" s="195">
        <f t="shared" si="5"/>
        <v>12861000</v>
      </c>
      <c r="G11" s="195">
        <f t="shared" si="5"/>
        <v>2055600</v>
      </c>
      <c r="H11" s="195">
        <f t="shared" si="5"/>
        <v>70500</v>
      </c>
      <c r="I11" s="182">
        <f t="shared" si="5"/>
        <v>2900000</v>
      </c>
      <c r="J11" s="135">
        <f t="shared" si="5"/>
        <v>0</v>
      </c>
      <c r="K11" s="182">
        <f t="shared" si="5"/>
        <v>2179000</v>
      </c>
      <c r="L11" s="195">
        <f t="shared" si="5"/>
        <v>273485100</v>
      </c>
      <c r="M11" s="195">
        <f>SUM(M7:M10)</f>
        <v>2179000</v>
      </c>
      <c r="N11" s="195">
        <f t="shared" si="5"/>
        <v>275664100</v>
      </c>
      <c r="O11" s="195">
        <f t="shared" si="5"/>
        <v>23112100</v>
      </c>
      <c r="P11" s="196">
        <f>IFERROR((O11/B11),"NA")</f>
        <v>9.2310672476664815E-2</v>
      </c>
      <c r="Q11" s="53"/>
    </row>
    <row r="12" spans="1:18" s="34" customFormat="1" x14ac:dyDescent="0.35">
      <c r="A12" s="41"/>
      <c r="B12" s="136"/>
      <c r="C12" s="37"/>
      <c r="D12" s="112"/>
      <c r="E12" s="37"/>
      <c r="F12" s="110"/>
      <c r="G12" s="110"/>
      <c r="H12" s="110"/>
      <c r="I12" s="112"/>
      <c r="J12" s="136"/>
      <c r="K12" s="112"/>
      <c r="L12" s="110"/>
      <c r="M12" s="110"/>
      <c r="N12" s="110"/>
      <c r="O12" s="110"/>
      <c r="P12" s="173"/>
    </row>
    <row r="13" spans="1:18" s="34" customFormat="1" x14ac:dyDescent="0.35">
      <c r="A13" s="39" t="s">
        <v>21</v>
      </c>
      <c r="B13" s="133"/>
      <c r="C13" s="168"/>
      <c r="D13" s="84"/>
      <c r="E13" s="168"/>
      <c r="F13" s="83"/>
      <c r="G13" s="83"/>
      <c r="H13" s="83"/>
      <c r="I13" s="84"/>
      <c r="J13" s="133"/>
      <c r="K13" s="84"/>
      <c r="L13" s="83"/>
      <c r="M13" s="83"/>
      <c r="N13" s="83"/>
      <c r="O13" s="83"/>
      <c r="P13" s="173"/>
    </row>
    <row r="14" spans="1:18" s="34" customFormat="1" x14ac:dyDescent="0.35">
      <c r="A14" s="37" t="s">
        <v>52</v>
      </c>
      <c r="B14" s="133">
        <v>32488900</v>
      </c>
      <c r="C14" s="168">
        <v>0</v>
      </c>
      <c r="D14" s="84">
        <f t="shared" ref="D14:D25" si="6">SUM(B14:C14)</f>
        <v>32488900</v>
      </c>
      <c r="E14" s="168">
        <v>0</v>
      </c>
      <c r="F14" s="83">
        <v>1188400</v>
      </c>
      <c r="G14" s="83">
        <f>68500+168500</f>
        <v>237000</v>
      </c>
      <c r="H14" s="83">
        <f>-32000+-3800+-25300+91700+-3900+4100</f>
        <v>30800</v>
      </c>
      <c r="I14" s="246">
        <v>0</v>
      </c>
      <c r="J14" s="133">
        <v>0</v>
      </c>
      <c r="K14" s="84">
        <v>227500</v>
      </c>
      <c r="L14" s="83">
        <f t="shared" ref="L14:L20" si="7">SUM(D14,E14:I14)</f>
        <v>33945100</v>
      </c>
      <c r="M14" s="83">
        <f>SUM(J14:K14)</f>
        <v>227500</v>
      </c>
      <c r="N14" s="83">
        <f t="shared" ref="N14:N25" si="8">L14+M14</f>
        <v>34172600</v>
      </c>
      <c r="O14" s="83">
        <f t="shared" ref="O14:O20" si="9">L14-B14</f>
        <v>1456200</v>
      </c>
      <c r="P14" s="173">
        <f t="shared" ref="P14:P26" si="10">IFERROR((O14/B14),"NA")</f>
        <v>4.482146209936317E-2</v>
      </c>
    </row>
    <row r="15" spans="1:18" s="34" customFormat="1" x14ac:dyDescent="0.35">
      <c r="A15" s="37" t="s">
        <v>53</v>
      </c>
      <c r="B15" s="134">
        <v>42280600</v>
      </c>
      <c r="C15" s="170">
        <v>0</v>
      </c>
      <c r="D15" s="171">
        <f t="shared" si="6"/>
        <v>42280600</v>
      </c>
      <c r="E15" s="170">
        <v>0</v>
      </c>
      <c r="F15" s="172">
        <v>1689600</v>
      </c>
      <c r="G15" s="172">
        <f>132600+315700</f>
        <v>448300</v>
      </c>
      <c r="H15" s="172">
        <f>-89900+-24000+-43000+133100+6400+17700</f>
        <v>300</v>
      </c>
      <c r="I15" s="247">
        <v>0</v>
      </c>
      <c r="J15" s="134">
        <v>0</v>
      </c>
      <c r="K15" s="171">
        <v>367800</v>
      </c>
      <c r="L15" s="172">
        <f t="shared" si="7"/>
        <v>44418800</v>
      </c>
      <c r="M15" s="172">
        <f t="shared" ref="M15:M20" si="11">SUM(J15:K15)</f>
        <v>367800</v>
      </c>
      <c r="N15" s="172">
        <f t="shared" si="8"/>
        <v>44786600</v>
      </c>
      <c r="O15" s="172">
        <f t="shared" si="9"/>
        <v>2138200</v>
      </c>
      <c r="P15" s="173">
        <f t="shared" si="10"/>
        <v>5.0571656977431732E-2</v>
      </c>
    </row>
    <row r="16" spans="1:18" s="34" customFormat="1" x14ac:dyDescent="0.35">
      <c r="A16" s="37" t="s">
        <v>22</v>
      </c>
      <c r="B16" s="134">
        <v>1466200</v>
      </c>
      <c r="C16" s="170">
        <v>0</v>
      </c>
      <c r="D16" s="171">
        <f t="shared" si="6"/>
        <v>1466200</v>
      </c>
      <c r="E16" s="170">
        <v>0</v>
      </c>
      <c r="F16" s="172">
        <v>38000</v>
      </c>
      <c r="G16" s="172">
        <v>0</v>
      </c>
      <c r="H16" s="172">
        <v>2500</v>
      </c>
      <c r="I16" s="247">
        <v>0</v>
      </c>
      <c r="J16" s="134">
        <v>0</v>
      </c>
      <c r="K16" s="171">
        <v>7500</v>
      </c>
      <c r="L16" s="172">
        <f t="shared" si="7"/>
        <v>1506700</v>
      </c>
      <c r="M16" s="172">
        <f t="shared" si="11"/>
        <v>7500</v>
      </c>
      <c r="N16" s="172">
        <f t="shared" si="8"/>
        <v>1514200</v>
      </c>
      <c r="O16" s="172">
        <f t="shared" si="9"/>
        <v>40500</v>
      </c>
      <c r="P16" s="173">
        <f t="shared" si="10"/>
        <v>2.7622425317146364E-2</v>
      </c>
    </row>
    <row r="17" spans="1:17" s="34" customFormat="1" x14ac:dyDescent="0.35">
      <c r="A17" s="37" t="s">
        <v>54</v>
      </c>
      <c r="B17" s="134">
        <v>4858100</v>
      </c>
      <c r="C17" s="170">
        <v>0</v>
      </c>
      <c r="D17" s="171">
        <f t="shared" si="6"/>
        <v>4858100</v>
      </c>
      <c r="E17" s="170">
        <v>0</v>
      </c>
      <c r="F17" s="172">
        <v>88000</v>
      </c>
      <c r="G17" s="172">
        <v>0</v>
      </c>
      <c r="H17" s="172">
        <f>42600-6500</f>
        <v>36100</v>
      </c>
      <c r="I17" s="247">
        <v>0</v>
      </c>
      <c r="J17" s="134">
        <v>0</v>
      </c>
      <c r="K17" s="171">
        <v>2200</v>
      </c>
      <c r="L17" s="172">
        <f t="shared" si="7"/>
        <v>4982200</v>
      </c>
      <c r="M17" s="172">
        <f t="shared" si="11"/>
        <v>2200</v>
      </c>
      <c r="N17" s="172">
        <f t="shared" si="8"/>
        <v>4984400</v>
      </c>
      <c r="O17" s="172">
        <f t="shared" si="9"/>
        <v>124100</v>
      </c>
      <c r="P17" s="173">
        <f t="shared" si="10"/>
        <v>2.5544966139025543E-2</v>
      </c>
    </row>
    <row r="18" spans="1:17" s="34" customFormat="1" x14ac:dyDescent="0.35">
      <c r="A18" s="37" t="s">
        <v>23</v>
      </c>
      <c r="B18" s="134">
        <v>5865100</v>
      </c>
      <c r="C18" s="170">
        <v>0</v>
      </c>
      <c r="D18" s="171">
        <f t="shared" si="6"/>
        <v>5865100</v>
      </c>
      <c r="E18" s="170">
        <v>0</v>
      </c>
      <c r="F18" s="172">
        <v>186800</v>
      </c>
      <c r="G18" s="172">
        <v>0</v>
      </c>
      <c r="H18" s="172">
        <f>25700+-7400</f>
        <v>18300</v>
      </c>
      <c r="I18" s="247">
        <v>0</v>
      </c>
      <c r="J18" s="134">
        <v>0</v>
      </c>
      <c r="K18" s="171">
        <v>11900</v>
      </c>
      <c r="L18" s="172">
        <f t="shared" si="7"/>
        <v>6070200</v>
      </c>
      <c r="M18" s="172">
        <f t="shared" si="11"/>
        <v>11900</v>
      </c>
      <c r="N18" s="172">
        <f t="shared" si="8"/>
        <v>6082100</v>
      </c>
      <c r="O18" s="172">
        <f t="shared" si="9"/>
        <v>205100</v>
      </c>
      <c r="P18" s="173">
        <f t="shared" si="10"/>
        <v>3.4969565736304581E-2</v>
      </c>
    </row>
    <row r="19" spans="1:17" s="34" customFormat="1" x14ac:dyDescent="0.35">
      <c r="A19" s="37" t="s">
        <v>42</v>
      </c>
      <c r="B19" s="134">
        <v>207800</v>
      </c>
      <c r="C19" s="170">
        <v>0</v>
      </c>
      <c r="D19" s="171">
        <f t="shared" si="6"/>
        <v>207800</v>
      </c>
      <c r="E19" s="170">
        <v>0</v>
      </c>
      <c r="F19" s="172">
        <v>6000</v>
      </c>
      <c r="G19" s="172">
        <v>0</v>
      </c>
      <c r="H19" s="172">
        <v>1600</v>
      </c>
      <c r="I19" s="247">
        <v>0</v>
      </c>
      <c r="J19" s="134">
        <v>0</v>
      </c>
      <c r="K19" s="171"/>
      <c r="L19" s="172">
        <f t="shared" si="7"/>
        <v>215400</v>
      </c>
      <c r="M19" s="172">
        <f t="shared" si="11"/>
        <v>0</v>
      </c>
      <c r="N19" s="172">
        <f t="shared" si="8"/>
        <v>215400</v>
      </c>
      <c r="O19" s="172">
        <f t="shared" si="9"/>
        <v>7600</v>
      </c>
      <c r="P19" s="173">
        <f t="shared" si="10"/>
        <v>3.6573628488931663E-2</v>
      </c>
    </row>
    <row r="20" spans="1:17" s="34" customFormat="1" x14ac:dyDescent="0.35">
      <c r="A20" s="37" t="s">
        <v>24</v>
      </c>
      <c r="B20" s="134">
        <v>9668700</v>
      </c>
      <c r="C20" s="170">
        <v>0</v>
      </c>
      <c r="D20" s="171">
        <f t="shared" si="6"/>
        <v>9668700</v>
      </c>
      <c r="E20" s="170">
        <v>0</v>
      </c>
      <c r="F20" s="172">
        <v>355200</v>
      </c>
      <c r="G20" s="172">
        <f>11500+27400</f>
        <v>38900</v>
      </c>
      <c r="H20" s="172">
        <f>2400+3500+-3700+29800+3800+3000</f>
        <v>38800</v>
      </c>
      <c r="I20" s="247">
        <v>0</v>
      </c>
      <c r="J20" s="134">
        <v>0</v>
      </c>
      <c r="K20" s="171">
        <v>60400</v>
      </c>
      <c r="L20" s="172">
        <f t="shared" si="7"/>
        <v>10101600</v>
      </c>
      <c r="M20" s="172">
        <f t="shared" si="11"/>
        <v>60400</v>
      </c>
      <c r="N20" s="172">
        <f t="shared" si="8"/>
        <v>10162000</v>
      </c>
      <c r="O20" s="172">
        <f t="shared" si="9"/>
        <v>432900</v>
      </c>
      <c r="P20" s="173">
        <f t="shared" si="10"/>
        <v>4.4773340780042817E-2</v>
      </c>
    </row>
    <row r="21" spans="1:17" s="34" customFormat="1" x14ac:dyDescent="0.35">
      <c r="A21" s="37" t="s">
        <v>25</v>
      </c>
      <c r="B21" s="134">
        <f>SUM(B22:B23)</f>
        <v>7120500</v>
      </c>
      <c r="C21" s="170">
        <f>SUM(C22:C23)</f>
        <v>0</v>
      </c>
      <c r="D21" s="171">
        <f t="shared" ref="D21:K21" si="12">SUM(D22:D23)</f>
        <v>7120500</v>
      </c>
      <c r="E21" s="170">
        <f t="shared" si="12"/>
        <v>0</v>
      </c>
      <c r="F21" s="172">
        <f t="shared" si="12"/>
        <v>257600</v>
      </c>
      <c r="G21" s="172">
        <f t="shared" si="12"/>
        <v>49200</v>
      </c>
      <c r="H21" s="175">
        <f>SUM(H22:H23)</f>
        <v>2600</v>
      </c>
      <c r="I21" s="247">
        <f t="shared" si="12"/>
        <v>0</v>
      </c>
      <c r="J21" s="134">
        <f t="shared" si="12"/>
        <v>500000</v>
      </c>
      <c r="K21" s="171">
        <f t="shared" si="12"/>
        <v>44000</v>
      </c>
      <c r="L21" s="172">
        <f t="shared" ref="L21" si="13">SUM(L22:L23)</f>
        <v>7429900</v>
      </c>
      <c r="M21" s="172">
        <f>SUM(M22:M23)</f>
        <v>544000</v>
      </c>
      <c r="N21" s="172">
        <f t="shared" ref="N21" si="14">SUM(N22:N23)</f>
        <v>7973900</v>
      </c>
      <c r="O21" s="172">
        <f t="shared" ref="O21" si="15">SUM(O22:O23)</f>
        <v>309400</v>
      </c>
      <c r="P21" s="173">
        <f t="shared" si="10"/>
        <v>4.3452004774945582E-2</v>
      </c>
    </row>
    <row r="22" spans="1:17" s="34" customFormat="1" x14ac:dyDescent="0.35">
      <c r="A22" s="42" t="s">
        <v>94</v>
      </c>
      <c r="B22" s="137">
        <v>802400</v>
      </c>
      <c r="C22" s="225">
        <v>0</v>
      </c>
      <c r="D22" s="169">
        <f t="shared" ref="D22" si="16">SUM(B22:C22)</f>
        <v>802400</v>
      </c>
      <c r="E22" s="225">
        <v>0</v>
      </c>
      <c r="F22" s="177">
        <v>64000</v>
      </c>
      <c r="G22" s="177">
        <f>3600+7900</f>
        <v>11500</v>
      </c>
      <c r="H22" s="177">
        <f>-2500+-700+-800+4800+-600</f>
        <v>200</v>
      </c>
      <c r="I22" s="248">
        <v>0</v>
      </c>
      <c r="J22" s="137">
        <v>0</v>
      </c>
      <c r="K22" s="169">
        <v>12700</v>
      </c>
      <c r="L22" s="177">
        <f t="shared" ref="L22:L25" si="17">SUM(D22,E22:I22)</f>
        <v>878100</v>
      </c>
      <c r="M22" s="177">
        <f t="shared" ref="M22:M25" si="18">SUM(J22:K22)</f>
        <v>12700</v>
      </c>
      <c r="N22" s="177">
        <f t="shared" ref="N22" si="19">L22+M22</f>
        <v>890800</v>
      </c>
      <c r="O22" s="177">
        <f>L22-B22</f>
        <v>75700</v>
      </c>
      <c r="P22" s="178">
        <f t="shared" si="10"/>
        <v>9.4341974077766705E-2</v>
      </c>
    </row>
    <row r="23" spans="1:17" s="34" customFormat="1" x14ac:dyDescent="0.35">
      <c r="A23" s="43" t="s">
        <v>95</v>
      </c>
      <c r="B23" s="138">
        <v>6318100</v>
      </c>
      <c r="C23" s="179">
        <v>0</v>
      </c>
      <c r="D23" s="180">
        <f>SUM(B23:C23)</f>
        <v>6318100</v>
      </c>
      <c r="E23" s="179">
        <v>0</v>
      </c>
      <c r="F23" s="191">
        <v>193600</v>
      </c>
      <c r="G23" s="191">
        <f>11100+26600</f>
        <v>37700</v>
      </c>
      <c r="H23" s="191">
        <f>-8000+-2300+-3800+15600+100+800</f>
        <v>2400</v>
      </c>
      <c r="I23" s="249">
        <v>0</v>
      </c>
      <c r="J23" s="138">
        <v>500000</v>
      </c>
      <c r="K23" s="180">
        <v>31300</v>
      </c>
      <c r="L23" s="191">
        <f t="shared" si="17"/>
        <v>6551800</v>
      </c>
      <c r="M23" s="191">
        <f t="shared" si="18"/>
        <v>531300</v>
      </c>
      <c r="N23" s="191">
        <f>L23+M23</f>
        <v>7083100</v>
      </c>
      <c r="O23" s="191">
        <f>L23-B23</f>
        <v>233700</v>
      </c>
      <c r="P23" s="192">
        <f t="shared" si="10"/>
        <v>3.698896820246593E-2</v>
      </c>
    </row>
    <row r="24" spans="1:17" s="34" customFormat="1" x14ac:dyDescent="0.35">
      <c r="A24" s="37" t="s">
        <v>50</v>
      </c>
      <c r="B24" s="134">
        <v>3396000</v>
      </c>
      <c r="C24" s="170">
        <v>0</v>
      </c>
      <c r="D24" s="171">
        <f t="shared" si="6"/>
        <v>3396000</v>
      </c>
      <c r="E24" s="170">
        <v>0</v>
      </c>
      <c r="F24" s="172">
        <v>176800</v>
      </c>
      <c r="G24" s="172">
        <f>6900+17200</f>
        <v>24100</v>
      </c>
      <c r="H24" s="172">
        <f>-2500+-100+-2700+33500+200</f>
        <v>28400</v>
      </c>
      <c r="I24" s="247">
        <v>0</v>
      </c>
      <c r="J24" s="134">
        <v>0</v>
      </c>
      <c r="K24" s="171">
        <v>26900</v>
      </c>
      <c r="L24" s="172">
        <f t="shared" si="17"/>
        <v>3625300</v>
      </c>
      <c r="M24" s="172">
        <f t="shared" si="18"/>
        <v>26900</v>
      </c>
      <c r="N24" s="172">
        <f t="shared" si="8"/>
        <v>3652200</v>
      </c>
      <c r="O24" s="172">
        <f>L24-B24</f>
        <v>229300</v>
      </c>
      <c r="P24" s="173">
        <f t="shared" si="10"/>
        <v>6.7520612485276799E-2</v>
      </c>
    </row>
    <row r="25" spans="1:17" s="34" customFormat="1" x14ac:dyDescent="0.35">
      <c r="A25" s="44" t="s">
        <v>49</v>
      </c>
      <c r="B25" s="139">
        <v>3970600</v>
      </c>
      <c r="C25" s="193">
        <v>0</v>
      </c>
      <c r="D25" s="176">
        <f t="shared" si="6"/>
        <v>3970600</v>
      </c>
      <c r="E25" s="193">
        <v>0</v>
      </c>
      <c r="F25" s="175">
        <v>219200</v>
      </c>
      <c r="G25" s="175">
        <f>9200+21400</f>
        <v>30600</v>
      </c>
      <c r="H25" s="175">
        <f>-5900+-1300+-2800+30600+500</f>
        <v>21100</v>
      </c>
      <c r="I25" s="250">
        <v>0</v>
      </c>
      <c r="J25" s="139">
        <v>0</v>
      </c>
      <c r="K25" s="176">
        <v>35100</v>
      </c>
      <c r="L25" s="175">
        <f t="shared" si="17"/>
        <v>4241500</v>
      </c>
      <c r="M25" s="175">
        <f t="shared" si="18"/>
        <v>35100</v>
      </c>
      <c r="N25" s="175">
        <f t="shared" si="8"/>
        <v>4276600</v>
      </c>
      <c r="O25" s="175">
        <f>L25-B25</f>
        <v>270900</v>
      </c>
      <c r="P25" s="163">
        <f t="shared" si="10"/>
        <v>6.8226464514179214E-2</v>
      </c>
    </row>
    <row r="26" spans="1:17" s="34" customFormat="1" x14ac:dyDescent="0.35">
      <c r="A26" s="41" t="s">
        <v>6</v>
      </c>
      <c r="B26" s="140">
        <f>SUM(B14:B25)-B21</f>
        <v>111322500</v>
      </c>
      <c r="C26" s="91">
        <f t="shared" ref="C26:O26" si="20">SUM(C14:C25)-C21</f>
        <v>0</v>
      </c>
      <c r="D26" s="90">
        <f t="shared" si="20"/>
        <v>111322500</v>
      </c>
      <c r="E26" s="91">
        <f t="shared" si="20"/>
        <v>0</v>
      </c>
      <c r="F26" s="89">
        <f t="shared" si="20"/>
        <v>4205600</v>
      </c>
      <c r="G26" s="89">
        <f t="shared" si="20"/>
        <v>828100</v>
      </c>
      <c r="H26" s="89">
        <f t="shared" si="20"/>
        <v>180500</v>
      </c>
      <c r="I26" s="90">
        <f>SUM(I14:I25)-I21</f>
        <v>0</v>
      </c>
      <c r="J26" s="140">
        <f t="shared" si="20"/>
        <v>500000</v>
      </c>
      <c r="K26" s="90">
        <f t="shared" si="20"/>
        <v>783300</v>
      </c>
      <c r="L26" s="89">
        <f t="shared" si="20"/>
        <v>116536700</v>
      </c>
      <c r="M26" s="89">
        <f t="shared" si="20"/>
        <v>1283300</v>
      </c>
      <c r="N26" s="89">
        <f t="shared" si="20"/>
        <v>117820000</v>
      </c>
      <c r="O26" s="89">
        <f t="shared" si="20"/>
        <v>5214200</v>
      </c>
      <c r="P26" s="190">
        <f t="shared" si="10"/>
        <v>4.6838689393429001E-2</v>
      </c>
      <c r="Q26" s="53"/>
    </row>
    <row r="27" spans="1:17" x14ac:dyDescent="0.35">
      <c r="A27" s="41"/>
      <c r="B27" s="141"/>
      <c r="C27" s="209"/>
      <c r="D27" s="86"/>
      <c r="E27" s="209"/>
      <c r="F27" s="85"/>
      <c r="G27" s="85"/>
      <c r="H27" s="85"/>
      <c r="I27" s="86"/>
      <c r="J27" s="141"/>
      <c r="K27" s="86"/>
      <c r="L27" s="1"/>
      <c r="M27" s="1"/>
      <c r="N27" s="1"/>
      <c r="O27" s="1"/>
      <c r="P27" s="7"/>
    </row>
    <row r="28" spans="1:17" x14ac:dyDescent="0.35">
      <c r="A28" s="39" t="s">
        <v>26</v>
      </c>
      <c r="B28" s="141"/>
      <c r="C28" s="209"/>
      <c r="D28" s="86"/>
      <c r="E28" s="209"/>
      <c r="F28" s="85"/>
      <c r="G28" s="85"/>
      <c r="H28" s="85"/>
      <c r="I28" s="86"/>
      <c r="J28" s="141"/>
      <c r="K28" s="86"/>
      <c r="L28" s="1"/>
      <c r="M28" s="1"/>
      <c r="N28" s="1"/>
      <c r="O28" s="1"/>
      <c r="P28" s="7"/>
    </row>
    <row r="29" spans="1:17" s="34" customFormat="1" x14ac:dyDescent="0.35">
      <c r="A29" s="37" t="s">
        <v>104</v>
      </c>
      <c r="B29" s="134">
        <v>5230000</v>
      </c>
      <c r="C29" s="168">
        <v>0</v>
      </c>
      <c r="D29" s="84">
        <f t="shared" ref="D29:D31" si="21">SUM(B29:C29)</f>
        <v>5230000</v>
      </c>
      <c r="E29" s="168">
        <v>0</v>
      </c>
      <c r="F29" s="83">
        <v>189500</v>
      </c>
      <c r="G29" s="83">
        <f>13600+36000</f>
        <v>49600</v>
      </c>
      <c r="H29" s="83">
        <f>105800+61000+-6600+3000+24400</f>
        <v>187600</v>
      </c>
      <c r="I29" s="84">
        <v>0</v>
      </c>
      <c r="J29" s="133">
        <v>0</v>
      </c>
      <c r="K29" s="84">
        <v>105200</v>
      </c>
      <c r="L29" s="83">
        <f t="shared" ref="L29:L31" si="22">SUM(D29,E29:I29)</f>
        <v>5656700</v>
      </c>
      <c r="M29" s="83">
        <f t="shared" ref="M29:M31" si="23">SUM(J29:K29)</f>
        <v>105200</v>
      </c>
      <c r="N29" s="83">
        <f>L29+M29</f>
        <v>5761900</v>
      </c>
      <c r="O29" s="83">
        <f>L29-B29</f>
        <v>426700</v>
      </c>
      <c r="P29" s="173">
        <f t="shared" ref="P29:P56" si="24">IFERROR((O29/B29),"NA")</f>
        <v>8.158699808795411E-2</v>
      </c>
    </row>
    <row r="30" spans="1:17" s="34" customFormat="1" x14ac:dyDescent="0.35">
      <c r="A30" s="37" t="s">
        <v>27</v>
      </c>
      <c r="B30" s="134">
        <v>6270600</v>
      </c>
      <c r="C30" s="170">
        <v>-698700</v>
      </c>
      <c r="D30" s="171">
        <f t="shared" si="21"/>
        <v>5571900</v>
      </c>
      <c r="E30" s="170">
        <v>0</v>
      </c>
      <c r="F30" s="172">
        <v>136000</v>
      </c>
      <c r="G30" s="172">
        <f>50300+119400</f>
        <v>169700</v>
      </c>
      <c r="H30" s="172">
        <f>-38000+-11300+-16100+14100+100+2300</f>
        <v>-48900</v>
      </c>
      <c r="I30" s="171">
        <f>4000000-31500+-3968200</f>
        <v>300</v>
      </c>
      <c r="J30" s="134">
        <f>2000000+1000000-1000000-2000000+72000000</f>
        <v>72000000</v>
      </c>
      <c r="K30" s="171">
        <v>223800</v>
      </c>
      <c r="L30" s="172">
        <f t="shared" si="22"/>
        <v>5829000</v>
      </c>
      <c r="M30" s="172">
        <f t="shared" si="23"/>
        <v>72223800</v>
      </c>
      <c r="N30" s="172">
        <f>L30+M30</f>
        <v>78052800</v>
      </c>
      <c r="O30" s="172">
        <f>L30-B30</f>
        <v>-441600</v>
      </c>
      <c r="P30" s="173">
        <f t="shared" si="24"/>
        <v>-7.0423882882020852E-2</v>
      </c>
    </row>
    <row r="31" spans="1:17" s="34" customFormat="1" x14ac:dyDescent="0.35">
      <c r="A31" s="37" t="s">
        <v>28</v>
      </c>
      <c r="B31" s="134">
        <v>14177100</v>
      </c>
      <c r="C31" s="170">
        <v>3256000</v>
      </c>
      <c r="D31" s="171">
        <f t="shared" si="21"/>
        <v>17433100</v>
      </c>
      <c r="E31" s="170">
        <v>0</v>
      </c>
      <c r="F31" s="172">
        <v>858000</v>
      </c>
      <c r="G31" s="172">
        <f>34400+85200</f>
        <v>119600</v>
      </c>
      <c r="H31" s="172">
        <f>+-4800+11100+-13100+113700+2600+-300</f>
        <v>109200</v>
      </c>
      <c r="I31" s="171">
        <f>1770000+5026000+1451000+170000+200000+2397400</f>
        <v>11014400</v>
      </c>
      <c r="J31" s="134">
        <f>200000000+8025000-200000000+1242000</f>
        <v>9267000</v>
      </c>
      <c r="K31" s="171">
        <v>129100</v>
      </c>
      <c r="L31" s="172">
        <f t="shared" si="22"/>
        <v>29534300</v>
      </c>
      <c r="M31" s="172">
        <f t="shared" si="23"/>
        <v>9396100</v>
      </c>
      <c r="N31" s="172">
        <f>L31+M31</f>
        <v>38930400</v>
      </c>
      <c r="O31" s="172">
        <f>L31-B31</f>
        <v>15357200</v>
      </c>
      <c r="P31" s="173">
        <f t="shared" si="24"/>
        <v>1.0832398727525376</v>
      </c>
    </row>
    <row r="32" spans="1:17" s="34" customFormat="1" x14ac:dyDescent="0.35">
      <c r="A32" s="37" t="s">
        <v>29</v>
      </c>
      <c r="B32" s="134">
        <f>SUM(B33:B36)</f>
        <v>116386300</v>
      </c>
      <c r="C32" s="174">
        <f>SUM(C33:C36)</f>
        <v>59600</v>
      </c>
      <c r="D32" s="171">
        <f>SUM(D33:D36)</f>
        <v>116445900</v>
      </c>
      <c r="E32" s="174">
        <f t="shared" ref="E32:O32" si="25">SUM(E33:E36)</f>
        <v>0</v>
      </c>
      <c r="F32" s="175">
        <f t="shared" si="25"/>
        <v>0</v>
      </c>
      <c r="G32" s="175">
        <f t="shared" si="25"/>
        <v>0</v>
      </c>
      <c r="H32" s="175">
        <f>SUM(H33:H36)</f>
        <v>252600</v>
      </c>
      <c r="I32" s="176">
        <f>SUM(I33:I36)</f>
        <v>-10500</v>
      </c>
      <c r="J32" s="139">
        <f t="shared" si="25"/>
        <v>0</v>
      </c>
      <c r="K32" s="176">
        <f t="shared" si="25"/>
        <v>12800</v>
      </c>
      <c r="L32" s="172">
        <f t="shared" si="25"/>
        <v>116688000</v>
      </c>
      <c r="M32" s="172">
        <f>SUM(M33:M36)</f>
        <v>12800</v>
      </c>
      <c r="N32" s="172">
        <f>SUM(N33:N36)</f>
        <v>116700800</v>
      </c>
      <c r="O32" s="172">
        <f t="shared" si="25"/>
        <v>301700</v>
      </c>
      <c r="P32" s="173">
        <f t="shared" si="24"/>
        <v>2.5922294978017171E-3</v>
      </c>
    </row>
    <row r="33" spans="1:22" s="34" customFormat="1" x14ac:dyDescent="0.35">
      <c r="A33" s="42" t="s">
        <v>64</v>
      </c>
      <c r="B33" s="137">
        <v>113262500</v>
      </c>
      <c r="C33" s="225">
        <v>0</v>
      </c>
      <c r="D33" s="169">
        <f t="shared" ref="D33:D46" si="26">SUM(B33:C33)</f>
        <v>113262500</v>
      </c>
      <c r="E33" s="225">
        <v>0</v>
      </c>
      <c r="F33" s="177">
        <v>0</v>
      </c>
      <c r="G33" s="177">
        <v>0</v>
      </c>
      <c r="H33" s="177">
        <v>0</v>
      </c>
      <c r="I33" s="169">
        <v>0</v>
      </c>
      <c r="J33" s="137">
        <v>0</v>
      </c>
      <c r="K33" s="169">
        <v>0</v>
      </c>
      <c r="L33" s="177">
        <f t="shared" ref="L33:L37" si="27">SUM(D33,E33:I33)</f>
        <v>113262500</v>
      </c>
      <c r="M33" s="177">
        <f t="shared" ref="M33:M37" si="28">SUM(J33:K33)</f>
        <v>0</v>
      </c>
      <c r="N33" s="177">
        <f t="shared" ref="N33:N40" si="29">L33+M33</f>
        <v>113262500</v>
      </c>
      <c r="O33" s="177">
        <f>L33-B33</f>
        <v>0</v>
      </c>
      <c r="P33" s="178">
        <f t="shared" si="24"/>
        <v>0</v>
      </c>
    </row>
    <row r="34" spans="1:22" x14ac:dyDescent="0.35">
      <c r="A34" s="45" t="s">
        <v>30</v>
      </c>
      <c r="B34" s="142">
        <v>2345600</v>
      </c>
      <c r="C34" s="226">
        <v>59600</v>
      </c>
      <c r="D34" s="183">
        <f t="shared" si="26"/>
        <v>2405200</v>
      </c>
      <c r="E34" s="226">
        <v>0</v>
      </c>
      <c r="F34" s="197">
        <v>0</v>
      </c>
      <c r="G34" s="197">
        <v>0</v>
      </c>
      <c r="H34" s="197">
        <f>-2900+-1300+9700+21700+500+224900</f>
        <v>252600</v>
      </c>
      <c r="I34" s="183">
        <v>0</v>
      </c>
      <c r="J34" s="142">
        <v>0</v>
      </c>
      <c r="K34" s="183">
        <v>12800</v>
      </c>
      <c r="L34" s="197">
        <f t="shared" si="27"/>
        <v>2657800</v>
      </c>
      <c r="M34" s="197">
        <f t="shared" si="28"/>
        <v>12800</v>
      </c>
      <c r="N34" s="197">
        <f t="shared" si="29"/>
        <v>2670600</v>
      </c>
      <c r="O34" s="197">
        <f>L34-B34</f>
        <v>312200</v>
      </c>
      <c r="P34" s="199">
        <f t="shared" si="24"/>
        <v>0.13310027285129605</v>
      </c>
    </row>
    <row r="35" spans="1:22" x14ac:dyDescent="0.35">
      <c r="A35" s="46" t="s">
        <v>59</v>
      </c>
      <c r="B35" s="138">
        <v>778200</v>
      </c>
      <c r="C35" s="179">
        <v>0</v>
      </c>
      <c r="D35" s="180">
        <f t="shared" si="26"/>
        <v>778200</v>
      </c>
      <c r="E35" s="179">
        <v>0</v>
      </c>
      <c r="F35" s="191">
        <v>0</v>
      </c>
      <c r="G35" s="191">
        <v>0</v>
      </c>
      <c r="H35" s="191">
        <v>0</v>
      </c>
      <c r="I35" s="180">
        <v>-10500</v>
      </c>
      <c r="J35" s="138">
        <v>0</v>
      </c>
      <c r="K35" s="180">
        <v>0</v>
      </c>
      <c r="L35" s="191">
        <f t="shared" si="27"/>
        <v>767700</v>
      </c>
      <c r="M35" s="191">
        <f t="shared" si="28"/>
        <v>0</v>
      </c>
      <c r="N35" s="191">
        <f t="shared" si="29"/>
        <v>767700</v>
      </c>
      <c r="O35" s="191">
        <f>L35-B35</f>
        <v>-10500</v>
      </c>
      <c r="P35" s="192">
        <f t="shared" si="24"/>
        <v>-1.3492675404780262E-2</v>
      </c>
      <c r="Q35" s="228"/>
    </row>
    <row r="36" spans="1:22" s="10" customFormat="1" ht="18" hidden="1" customHeight="1" x14ac:dyDescent="0.35">
      <c r="A36" s="46" t="s">
        <v>71</v>
      </c>
      <c r="B36" s="138">
        <v>0</v>
      </c>
      <c r="C36" s="179">
        <v>0</v>
      </c>
      <c r="D36" s="180">
        <f t="shared" si="26"/>
        <v>0</v>
      </c>
      <c r="E36" s="179">
        <v>0</v>
      </c>
      <c r="F36" s="191">
        <v>0</v>
      </c>
      <c r="G36" s="191">
        <v>0</v>
      </c>
      <c r="H36" s="191">
        <v>0</v>
      </c>
      <c r="I36" s="180">
        <v>0</v>
      </c>
      <c r="J36" s="138">
        <v>0</v>
      </c>
      <c r="K36" s="180"/>
      <c r="L36" s="8">
        <f t="shared" si="27"/>
        <v>0</v>
      </c>
      <c r="M36" s="8">
        <f t="shared" si="28"/>
        <v>0</v>
      </c>
      <c r="N36" s="8">
        <f t="shared" si="29"/>
        <v>0</v>
      </c>
      <c r="O36" s="8">
        <f>L36-B36</f>
        <v>0</v>
      </c>
      <c r="P36" s="9" t="str">
        <f t="shared" si="24"/>
        <v>NA</v>
      </c>
      <c r="Q36" s="34"/>
      <c r="R36" s="34"/>
      <c r="S36" s="2"/>
      <c r="T36" s="2"/>
      <c r="U36" s="2"/>
      <c r="V36" s="2"/>
    </row>
    <row r="37" spans="1:22" s="34" customFormat="1" x14ac:dyDescent="0.35">
      <c r="A37" s="40" t="s">
        <v>32</v>
      </c>
      <c r="B37" s="134">
        <v>2577000</v>
      </c>
      <c r="C37" s="170">
        <v>0</v>
      </c>
      <c r="D37" s="171">
        <f>SUM(B37:C37)</f>
        <v>2577000</v>
      </c>
      <c r="E37" s="170">
        <v>0</v>
      </c>
      <c r="F37" s="172">
        <v>0</v>
      </c>
      <c r="G37" s="172">
        <v>0</v>
      </c>
      <c r="H37" s="172">
        <v>0</v>
      </c>
      <c r="I37" s="171">
        <v>0</v>
      </c>
      <c r="J37" s="134">
        <v>0</v>
      </c>
      <c r="K37" s="171"/>
      <c r="L37" s="172">
        <f t="shared" si="27"/>
        <v>2577000</v>
      </c>
      <c r="M37" s="172">
        <f t="shared" si="28"/>
        <v>0</v>
      </c>
      <c r="N37" s="172">
        <f>L37+M37</f>
        <v>2577000</v>
      </c>
      <c r="O37" s="172">
        <f>L37-B37</f>
        <v>0</v>
      </c>
      <c r="P37" s="173">
        <f t="shared" si="24"/>
        <v>0</v>
      </c>
    </row>
    <row r="38" spans="1:22" s="34" customFormat="1" x14ac:dyDescent="0.35">
      <c r="A38" s="38" t="s">
        <v>31</v>
      </c>
      <c r="B38" s="139">
        <f>SUM(B39:B51)</f>
        <v>5888100</v>
      </c>
      <c r="C38" s="193">
        <f t="shared" ref="C38:O38" si="30">SUM(C39:C51)</f>
        <v>49400</v>
      </c>
      <c r="D38" s="176">
        <f t="shared" si="30"/>
        <v>5937500</v>
      </c>
      <c r="E38" s="193">
        <f t="shared" si="30"/>
        <v>0</v>
      </c>
      <c r="F38" s="175">
        <f t="shared" si="30"/>
        <v>0</v>
      </c>
      <c r="G38" s="175">
        <f t="shared" si="30"/>
        <v>0</v>
      </c>
      <c r="H38" s="175">
        <f t="shared" si="30"/>
        <v>281900</v>
      </c>
      <c r="I38" s="176">
        <f t="shared" si="30"/>
        <v>344900</v>
      </c>
      <c r="J38" s="139">
        <f t="shared" si="30"/>
        <v>0</v>
      </c>
      <c r="K38" s="176">
        <f t="shared" si="30"/>
        <v>20500</v>
      </c>
      <c r="L38" s="175">
        <f>SUM(L39:L51)</f>
        <v>6564300</v>
      </c>
      <c r="M38" s="175">
        <f t="shared" si="30"/>
        <v>20500</v>
      </c>
      <c r="N38" s="175">
        <f t="shared" si="30"/>
        <v>6584800</v>
      </c>
      <c r="O38" s="175">
        <f t="shared" si="30"/>
        <v>676200</v>
      </c>
      <c r="P38" s="163">
        <f t="shared" si="24"/>
        <v>0.11484179956182809</v>
      </c>
      <c r="S38" s="228"/>
    </row>
    <row r="39" spans="1:22" s="4" customFormat="1" x14ac:dyDescent="0.35">
      <c r="A39" s="42" t="s">
        <v>77</v>
      </c>
      <c r="B39" s="137">
        <v>4010700</v>
      </c>
      <c r="C39" s="225">
        <v>49400</v>
      </c>
      <c r="D39" s="169">
        <f t="shared" si="26"/>
        <v>4060100</v>
      </c>
      <c r="E39" s="225">
        <v>0</v>
      </c>
      <c r="F39" s="177">
        <v>0</v>
      </c>
      <c r="G39" s="177">
        <v>0</v>
      </c>
      <c r="H39" s="177">
        <f>-400+15300+40400+226600</f>
        <v>281900</v>
      </c>
      <c r="I39" s="169">
        <v>0</v>
      </c>
      <c r="J39" s="137">
        <v>0</v>
      </c>
      <c r="K39" s="169">
        <v>20500</v>
      </c>
      <c r="L39" s="177">
        <f t="shared" ref="L39:L51" si="31">SUM(D39,E39:I39)</f>
        <v>4342000</v>
      </c>
      <c r="M39" s="177">
        <f t="shared" ref="M39:M51" si="32">SUM(J39:K39)</f>
        <v>20500</v>
      </c>
      <c r="N39" s="177">
        <f t="shared" si="29"/>
        <v>4362500</v>
      </c>
      <c r="O39" s="177">
        <f t="shared" ref="O39:O51" si="33">L39-B39</f>
        <v>331300</v>
      </c>
      <c r="P39" s="199">
        <f t="shared" si="24"/>
        <v>8.2604034208492286E-2</v>
      </c>
      <c r="Q39" s="257"/>
      <c r="R39" s="54"/>
    </row>
    <row r="40" spans="1:22" s="4" customFormat="1" x14ac:dyDescent="0.35">
      <c r="A40" s="45" t="s">
        <v>88</v>
      </c>
      <c r="B40" s="142">
        <v>105000</v>
      </c>
      <c r="C40" s="226">
        <v>0</v>
      </c>
      <c r="D40" s="183">
        <f t="shared" si="26"/>
        <v>105000</v>
      </c>
      <c r="E40" s="226">
        <v>0</v>
      </c>
      <c r="F40" s="197">
        <v>0</v>
      </c>
      <c r="G40" s="197">
        <v>0</v>
      </c>
      <c r="H40" s="197">
        <v>0</v>
      </c>
      <c r="I40" s="183">
        <v>0</v>
      </c>
      <c r="J40" s="142">
        <v>0</v>
      </c>
      <c r="K40" s="183">
        <v>0</v>
      </c>
      <c r="L40" s="197">
        <f t="shared" si="31"/>
        <v>105000</v>
      </c>
      <c r="M40" s="197">
        <f t="shared" si="32"/>
        <v>0</v>
      </c>
      <c r="N40" s="197">
        <f t="shared" si="29"/>
        <v>105000</v>
      </c>
      <c r="O40" s="197">
        <f t="shared" si="33"/>
        <v>0</v>
      </c>
      <c r="P40" s="199">
        <f>IFERROR((O40/B40),"NA")</f>
        <v>0</v>
      </c>
      <c r="Q40" s="54"/>
      <c r="R40" s="54"/>
    </row>
    <row r="41" spans="1:22" s="4" customFormat="1" x14ac:dyDescent="0.35">
      <c r="A41" s="45" t="s">
        <v>83</v>
      </c>
      <c r="B41" s="142">
        <v>100000</v>
      </c>
      <c r="C41" s="226">
        <v>0</v>
      </c>
      <c r="D41" s="183">
        <f t="shared" si="26"/>
        <v>100000</v>
      </c>
      <c r="E41" s="226">
        <v>0</v>
      </c>
      <c r="F41" s="197">
        <v>0</v>
      </c>
      <c r="G41" s="197">
        <v>0</v>
      </c>
      <c r="H41" s="197">
        <v>0</v>
      </c>
      <c r="I41" s="183">
        <v>0</v>
      </c>
      <c r="J41" s="142">
        <v>0</v>
      </c>
      <c r="K41" s="183">
        <v>0</v>
      </c>
      <c r="L41" s="197">
        <f t="shared" si="31"/>
        <v>100000</v>
      </c>
      <c r="M41" s="197">
        <f t="shared" si="32"/>
        <v>0</v>
      </c>
      <c r="N41" s="197">
        <f t="shared" ref="N41" si="34">L41+M41</f>
        <v>100000</v>
      </c>
      <c r="O41" s="197">
        <f t="shared" si="33"/>
        <v>0</v>
      </c>
      <c r="P41" s="199">
        <f t="shared" si="24"/>
        <v>0</v>
      </c>
      <c r="Q41" s="54"/>
      <c r="R41" s="54"/>
    </row>
    <row r="42" spans="1:22" s="4" customFormat="1" x14ac:dyDescent="0.35">
      <c r="A42" s="45" t="s">
        <v>84</v>
      </c>
      <c r="B42" s="142">
        <v>120600</v>
      </c>
      <c r="C42" s="226">
        <v>0</v>
      </c>
      <c r="D42" s="183">
        <f t="shared" si="26"/>
        <v>120600</v>
      </c>
      <c r="E42" s="226">
        <v>0</v>
      </c>
      <c r="F42" s="197">
        <v>0</v>
      </c>
      <c r="G42" s="197">
        <v>0</v>
      </c>
      <c r="H42" s="197">
        <v>0</v>
      </c>
      <c r="I42" s="183">
        <v>0</v>
      </c>
      <c r="J42" s="142">
        <v>0</v>
      </c>
      <c r="K42" s="183">
        <v>0</v>
      </c>
      <c r="L42" s="197">
        <f t="shared" si="31"/>
        <v>120600</v>
      </c>
      <c r="M42" s="197">
        <f t="shared" si="32"/>
        <v>0</v>
      </c>
      <c r="N42" s="197">
        <f t="shared" ref="N42" si="35">L42+M42</f>
        <v>120600</v>
      </c>
      <c r="O42" s="197">
        <f t="shared" si="33"/>
        <v>0</v>
      </c>
      <c r="P42" s="199">
        <f t="shared" si="24"/>
        <v>0</v>
      </c>
      <c r="Q42" s="54"/>
      <c r="R42" s="54"/>
    </row>
    <row r="43" spans="1:22" s="4" customFormat="1" x14ac:dyDescent="0.35">
      <c r="A43" s="45" t="s">
        <v>85</v>
      </c>
      <c r="B43" s="142">
        <v>83900</v>
      </c>
      <c r="C43" s="226">
        <v>0</v>
      </c>
      <c r="D43" s="183">
        <f t="shared" si="26"/>
        <v>83900</v>
      </c>
      <c r="E43" s="226">
        <v>0</v>
      </c>
      <c r="F43" s="197">
        <v>0</v>
      </c>
      <c r="G43" s="197">
        <v>0</v>
      </c>
      <c r="H43" s="197">
        <v>0</v>
      </c>
      <c r="I43" s="183">
        <v>0</v>
      </c>
      <c r="J43" s="142">
        <v>0</v>
      </c>
      <c r="K43" s="183">
        <v>0</v>
      </c>
      <c r="L43" s="197">
        <f t="shared" si="31"/>
        <v>83900</v>
      </c>
      <c r="M43" s="197">
        <f t="shared" si="32"/>
        <v>0</v>
      </c>
      <c r="N43" s="197">
        <f t="shared" ref="N43:N46" si="36">L43+M43</f>
        <v>83900</v>
      </c>
      <c r="O43" s="197">
        <f t="shared" si="33"/>
        <v>0</v>
      </c>
      <c r="P43" s="199">
        <f t="shared" si="24"/>
        <v>0</v>
      </c>
      <c r="Q43" s="54"/>
      <c r="R43" s="54"/>
    </row>
    <row r="44" spans="1:22" s="4" customFormat="1" x14ac:dyDescent="0.35">
      <c r="A44" s="45" t="s">
        <v>78</v>
      </c>
      <c r="B44" s="142">
        <v>416400</v>
      </c>
      <c r="C44" s="226">
        <v>0</v>
      </c>
      <c r="D44" s="183">
        <f t="shared" si="26"/>
        <v>416400</v>
      </c>
      <c r="E44" s="226">
        <v>0</v>
      </c>
      <c r="F44" s="197">
        <v>0</v>
      </c>
      <c r="G44" s="197">
        <v>0</v>
      </c>
      <c r="H44" s="197">
        <v>0</v>
      </c>
      <c r="I44" s="183">
        <v>0</v>
      </c>
      <c r="J44" s="142">
        <v>0</v>
      </c>
      <c r="K44" s="183">
        <v>0</v>
      </c>
      <c r="L44" s="197">
        <f t="shared" si="31"/>
        <v>416400</v>
      </c>
      <c r="M44" s="197">
        <f t="shared" si="32"/>
        <v>0</v>
      </c>
      <c r="N44" s="197">
        <f t="shared" si="36"/>
        <v>416400</v>
      </c>
      <c r="O44" s="197">
        <f t="shared" si="33"/>
        <v>0</v>
      </c>
      <c r="P44" s="199">
        <f t="shared" si="24"/>
        <v>0</v>
      </c>
      <c r="Q44" s="54"/>
      <c r="R44" s="54"/>
    </row>
    <row r="45" spans="1:22" x14ac:dyDescent="0.35">
      <c r="A45" s="45" t="s">
        <v>89</v>
      </c>
      <c r="B45" s="142">
        <v>245200</v>
      </c>
      <c r="C45" s="226">
        <v>0</v>
      </c>
      <c r="D45" s="183">
        <f t="shared" si="26"/>
        <v>245200</v>
      </c>
      <c r="E45" s="226">
        <v>0</v>
      </c>
      <c r="F45" s="197">
        <v>0</v>
      </c>
      <c r="G45" s="197">
        <v>0</v>
      </c>
      <c r="H45" s="197">
        <v>0</v>
      </c>
      <c r="I45" s="183">
        <v>0</v>
      </c>
      <c r="J45" s="142">
        <v>0</v>
      </c>
      <c r="K45" s="183">
        <v>0</v>
      </c>
      <c r="L45" s="197">
        <f t="shared" si="31"/>
        <v>245200</v>
      </c>
      <c r="M45" s="197">
        <f t="shared" si="32"/>
        <v>0</v>
      </c>
      <c r="N45" s="197">
        <f t="shared" si="36"/>
        <v>245200</v>
      </c>
      <c r="O45" s="197">
        <f t="shared" si="33"/>
        <v>0</v>
      </c>
      <c r="P45" s="199">
        <f t="shared" si="24"/>
        <v>0</v>
      </c>
    </row>
    <row r="46" spans="1:22" x14ac:dyDescent="0.35">
      <c r="A46" s="45" t="s">
        <v>75</v>
      </c>
      <c r="B46" s="142">
        <v>200000</v>
      </c>
      <c r="C46" s="226">
        <v>0</v>
      </c>
      <c r="D46" s="183">
        <f t="shared" si="26"/>
        <v>200000</v>
      </c>
      <c r="E46" s="226">
        <v>0</v>
      </c>
      <c r="F46" s="197">
        <v>0</v>
      </c>
      <c r="G46" s="197">
        <v>0</v>
      </c>
      <c r="H46" s="197">
        <v>0</v>
      </c>
      <c r="I46" s="183">
        <v>0</v>
      </c>
      <c r="J46" s="142">
        <v>0</v>
      </c>
      <c r="K46" s="183">
        <v>0</v>
      </c>
      <c r="L46" s="197">
        <f t="shared" si="31"/>
        <v>200000</v>
      </c>
      <c r="M46" s="197">
        <f t="shared" si="32"/>
        <v>0</v>
      </c>
      <c r="N46" s="197">
        <f t="shared" si="36"/>
        <v>200000</v>
      </c>
      <c r="O46" s="197">
        <f t="shared" si="33"/>
        <v>0</v>
      </c>
      <c r="P46" s="199">
        <f t="shared" si="24"/>
        <v>0</v>
      </c>
    </row>
    <row r="47" spans="1:22" ht="18" customHeight="1" x14ac:dyDescent="0.35">
      <c r="A47" s="45" t="s">
        <v>76</v>
      </c>
      <c r="B47" s="142">
        <v>96300</v>
      </c>
      <c r="C47" s="226">
        <v>0</v>
      </c>
      <c r="D47" s="183">
        <f>SUM(B47:C47)</f>
        <v>96300</v>
      </c>
      <c r="E47" s="226">
        <v>0</v>
      </c>
      <c r="F47" s="197">
        <v>0</v>
      </c>
      <c r="G47" s="197">
        <v>0</v>
      </c>
      <c r="H47" s="197">
        <v>0</v>
      </c>
      <c r="I47" s="183">
        <v>0</v>
      </c>
      <c r="J47" s="142">
        <v>0</v>
      </c>
      <c r="K47" s="183">
        <v>0</v>
      </c>
      <c r="L47" s="197">
        <f t="shared" si="31"/>
        <v>96300</v>
      </c>
      <c r="M47" s="197">
        <f t="shared" si="32"/>
        <v>0</v>
      </c>
      <c r="N47" s="197">
        <f>L47+M47</f>
        <v>96300</v>
      </c>
      <c r="O47" s="197">
        <f t="shared" si="33"/>
        <v>0</v>
      </c>
      <c r="P47" s="199">
        <f t="shared" si="24"/>
        <v>0</v>
      </c>
    </row>
    <row r="48" spans="1:22" ht="18" customHeight="1" x14ac:dyDescent="0.35">
      <c r="A48" s="45" t="s">
        <v>93</v>
      </c>
      <c r="B48" s="142">
        <v>84000</v>
      </c>
      <c r="C48" s="226">
        <v>0</v>
      </c>
      <c r="D48" s="183">
        <f>SUM(B48:C48)</f>
        <v>84000</v>
      </c>
      <c r="E48" s="226">
        <v>0</v>
      </c>
      <c r="F48" s="197">
        <v>0</v>
      </c>
      <c r="G48" s="197">
        <v>0</v>
      </c>
      <c r="H48" s="197">
        <v>0</v>
      </c>
      <c r="I48" s="183">
        <v>0</v>
      </c>
      <c r="J48" s="142">
        <v>0</v>
      </c>
      <c r="K48" s="183">
        <v>0</v>
      </c>
      <c r="L48" s="197">
        <f t="shared" si="31"/>
        <v>84000</v>
      </c>
      <c r="M48" s="197">
        <f t="shared" si="32"/>
        <v>0</v>
      </c>
      <c r="N48" s="197">
        <f>L48+M48</f>
        <v>84000</v>
      </c>
      <c r="O48" s="197">
        <f t="shared" si="33"/>
        <v>0</v>
      </c>
      <c r="P48" s="199">
        <f t="shared" si="24"/>
        <v>0</v>
      </c>
    </row>
    <row r="49" spans="1:18" s="4" customFormat="1" x14ac:dyDescent="0.35">
      <c r="A49" s="45" t="s">
        <v>96</v>
      </c>
      <c r="B49" s="142">
        <v>426000</v>
      </c>
      <c r="C49" s="226">
        <v>0</v>
      </c>
      <c r="D49" s="183">
        <f>SUM(B49:C49)</f>
        <v>426000</v>
      </c>
      <c r="E49" s="226">
        <v>0</v>
      </c>
      <c r="F49" s="197">
        <v>0</v>
      </c>
      <c r="G49" s="197">
        <v>0</v>
      </c>
      <c r="H49" s="197">
        <v>0</v>
      </c>
      <c r="I49" s="183">
        <v>0</v>
      </c>
      <c r="J49" s="142">
        <v>0</v>
      </c>
      <c r="K49" s="183">
        <v>0</v>
      </c>
      <c r="L49" s="197">
        <f t="shared" si="31"/>
        <v>426000</v>
      </c>
      <c r="M49" s="197">
        <f t="shared" si="32"/>
        <v>0</v>
      </c>
      <c r="N49" s="197">
        <f t="shared" ref="N49" si="37">L49+M49</f>
        <v>426000</v>
      </c>
      <c r="O49" s="197">
        <f t="shared" si="33"/>
        <v>0</v>
      </c>
      <c r="P49" s="199">
        <f t="shared" si="24"/>
        <v>0</v>
      </c>
      <c r="Q49" s="54"/>
      <c r="R49" s="54"/>
    </row>
    <row r="50" spans="1:18" s="54" customFormat="1" x14ac:dyDescent="0.35">
      <c r="A50" s="45" t="s">
        <v>107</v>
      </c>
      <c r="B50" s="145">
        <v>0</v>
      </c>
      <c r="C50" s="226">
        <v>0</v>
      </c>
      <c r="D50" s="183">
        <f>SUM(B50:C50)</f>
        <v>0</v>
      </c>
      <c r="E50" s="226">
        <v>0</v>
      </c>
      <c r="F50" s="197">
        <v>0</v>
      </c>
      <c r="G50" s="197">
        <v>0</v>
      </c>
      <c r="H50" s="197"/>
      <c r="I50" s="183">
        <f>4000000-4000000</f>
        <v>0</v>
      </c>
      <c r="J50" s="142">
        <f>2000000-2000000</f>
        <v>0</v>
      </c>
      <c r="K50" s="183">
        <v>0</v>
      </c>
      <c r="L50" s="197">
        <f t="shared" si="31"/>
        <v>0</v>
      </c>
      <c r="M50" s="197">
        <f t="shared" si="32"/>
        <v>0</v>
      </c>
      <c r="N50" s="197">
        <f>L50+M50</f>
        <v>0</v>
      </c>
      <c r="O50" s="197">
        <f t="shared" si="33"/>
        <v>0</v>
      </c>
      <c r="P50" s="199" t="str">
        <f t="shared" si="24"/>
        <v>NA</v>
      </c>
    </row>
    <row r="51" spans="1:18" s="54" customFormat="1" x14ac:dyDescent="0.35">
      <c r="A51" s="45" t="s">
        <v>109</v>
      </c>
      <c r="B51" s="145">
        <v>0</v>
      </c>
      <c r="C51" s="226">
        <v>0</v>
      </c>
      <c r="D51" s="183">
        <f>SUM(B51:C51)</f>
        <v>0</v>
      </c>
      <c r="E51" s="226">
        <v>0</v>
      </c>
      <c r="F51" s="197">
        <v>0</v>
      </c>
      <c r="G51" s="197">
        <v>0</v>
      </c>
      <c r="H51" s="197"/>
      <c r="I51" s="183">
        <v>344900</v>
      </c>
      <c r="J51" s="142">
        <v>0</v>
      </c>
      <c r="K51" s="183">
        <v>0</v>
      </c>
      <c r="L51" s="197">
        <f t="shared" si="31"/>
        <v>344900</v>
      </c>
      <c r="M51" s="197">
        <f t="shared" si="32"/>
        <v>0</v>
      </c>
      <c r="N51" s="197">
        <f>L51+M51</f>
        <v>344900</v>
      </c>
      <c r="O51" s="197">
        <f t="shared" si="33"/>
        <v>344900</v>
      </c>
      <c r="P51" s="199" t="str">
        <f t="shared" si="24"/>
        <v>NA</v>
      </c>
    </row>
    <row r="52" spans="1:18" s="34" customFormat="1" x14ac:dyDescent="0.35">
      <c r="A52" s="47" t="s">
        <v>6</v>
      </c>
      <c r="B52" s="223">
        <f t="shared" ref="B52:O52" si="38">SUM(B29:B32,B37:B38)</f>
        <v>150529100</v>
      </c>
      <c r="C52" s="194">
        <f t="shared" si="38"/>
        <v>2666300</v>
      </c>
      <c r="D52" s="182">
        <f t="shared" si="38"/>
        <v>153195400</v>
      </c>
      <c r="E52" s="194">
        <f t="shared" si="38"/>
        <v>0</v>
      </c>
      <c r="F52" s="195">
        <f t="shared" si="38"/>
        <v>1183500</v>
      </c>
      <c r="G52" s="195">
        <f t="shared" si="38"/>
        <v>338900</v>
      </c>
      <c r="H52" s="195">
        <f t="shared" si="38"/>
        <v>782400</v>
      </c>
      <c r="I52" s="182">
        <f t="shared" si="38"/>
        <v>11349100</v>
      </c>
      <c r="J52" s="135">
        <f t="shared" si="38"/>
        <v>81267000</v>
      </c>
      <c r="K52" s="182">
        <f t="shared" ref="K52" si="39">SUM(K29:K32,K37:K38)</f>
        <v>491400</v>
      </c>
      <c r="L52" s="195">
        <f t="shared" si="38"/>
        <v>166849300</v>
      </c>
      <c r="M52" s="195">
        <f t="shared" si="38"/>
        <v>81758400</v>
      </c>
      <c r="N52" s="195">
        <f t="shared" si="38"/>
        <v>248607700</v>
      </c>
      <c r="O52" s="195">
        <f t="shared" si="38"/>
        <v>16320200</v>
      </c>
      <c r="P52" s="196">
        <f t="shared" si="24"/>
        <v>0.10841890372027733</v>
      </c>
      <c r="Q52" s="53"/>
    </row>
    <row r="53" spans="1:18" s="34" customFormat="1" x14ac:dyDescent="0.35">
      <c r="A53" s="37"/>
      <c r="B53" s="136"/>
      <c r="C53" s="37"/>
      <c r="D53" s="171"/>
      <c r="E53" s="37"/>
      <c r="F53" s="110"/>
      <c r="G53" s="110"/>
      <c r="H53" s="110"/>
      <c r="I53" s="112"/>
      <c r="J53" s="136"/>
      <c r="K53" s="112"/>
      <c r="L53" s="110"/>
      <c r="M53" s="110"/>
      <c r="N53" s="110"/>
      <c r="O53" s="110"/>
      <c r="P53" s="173"/>
    </row>
    <row r="54" spans="1:18" s="34" customFormat="1" x14ac:dyDescent="0.35">
      <c r="A54" s="48" t="s">
        <v>33</v>
      </c>
      <c r="B54" s="143">
        <f t="shared" ref="B54:O54" si="40">B11+B26+B52</f>
        <v>512224600</v>
      </c>
      <c r="C54" s="204">
        <f t="shared" si="40"/>
        <v>2666300</v>
      </c>
      <c r="D54" s="184">
        <f t="shared" si="40"/>
        <v>514890900</v>
      </c>
      <c r="E54" s="204">
        <f t="shared" si="40"/>
        <v>5225000</v>
      </c>
      <c r="F54" s="205">
        <f>F11+F26+F52</f>
        <v>18250100</v>
      </c>
      <c r="G54" s="205">
        <f t="shared" si="40"/>
        <v>3222600</v>
      </c>
      <c r="H54" s="205">
        <f t="shared" si="40"/>
        <v>1033400</v>
      </c>
      <c r="I54" s="184">
        <f t="shared" si="40"/>
        <v>14249100</v>
      </c>
      <c r="J54" s="143">
        <f t="shared" si="40"/>
        <v>81767000</v>
      </c>
      <c r="K54" s="184">
        <f t="shared" ref="K54" si="41">K11+K26+K52</f>
        <v>3453700</v>
      </c>
      <c r="L54" s="205">
        <f t="shared" si="40"/>
        <v>556871100</v>
      </c>
      <c r="M54" s="205">
        <f t="shared" si="40"/>
        <v>85220700</v>
      </c>
      <c r="N54" s="205">
        <f t="shared" si="40"/>
        <v>642091800</v>
      </c>
      <c r="O54" s="205">
        <f t="shared" si="40"/>
        <v>44646500</v>
      </c>
      <c r="P54" s="206">
        <f t="shared" si="24"/>
        <v>8.716195981216053E-2</v>
      </c>
      <c r="Q54" s="53"/>
    </row>
    <row r="55" spans="1:18" s="34" customFormat="1" x14ac:dyDescent="0.35">
      <c r="A55" s="37"/>
      <c r="B55" s="135"/>
      <c r="C55" s="207"/>
      <c r="D55" s="182"/>
      <c r="E55" s="207"/>
      <c r="F55" s="195"/>
      <c r="G55" s="195"/>
      <c r="H55" s="195"/>
      <c r="I55" s="182"/>
      <c r="J55" s="135"/>
      <c r="K55" s="182"/>
      <c r="L55" s="195"/>
      <c r="M55" s="195"/>
      <c r="N55" s="195"/>
      <c r="O55" s="195"/>
      <c r="P55" s="196"/>
    </row>
    <row r="56" spans="1:18" s="34" customFormat="1" x14ac:dyDescent="0.35">
      <c r="A56" s="41" t="s">
        <v>34</v>
      </c>
      <c r="B56" s="140">
        <f>B54+'2022-23 Form Distr'!B27</f>
        <v>1778239600</v>
      </c>
      <c r="C56" s="91">
        <f>C54</f>
        <v>2666300</v>
      </c>
      <c r="D56" s="90">
        <f>D54+'2022-23 Form Distr'!D27</f>
        <v>1781604600</v>
      </c>
      <c r="E56" s="91">
        <f>E54+'2022-23 Form Distr'!E27</f>
        <v>95225000</v>
      </c>
      <c r="F56" s="89">
        <f>F54+'2022-23 Form Distr'!F27</f>
        <v>65586600</v>
      </c>
      <c r="G56" s="89">
        <f>G54+'2022-23 Form Distr'!G27</f>
        <v>14592600</v>
      </c>
      <c r="H56" s="89">
        <f>H54+'2022-23 Form Distr'!H27</f>
        <v>4357900</v>
      </c>
      <c r="I56" s="90">
        <f>I54+'2022-23 Form Distr'!I27</f>
        <v>30942300</v>
      </c>
      <c r="J56" s="140">
        <f>J54+'2022-23 Form Distr'!J27</f>
        <v>159981000</v>
      </c>
      <c r="K56" s="90">
        <f>K54+'2022-23 Form Distr'!K27</f>
        <v>20666600</v>
      </c>
      <c r="L56" s="89">
        <f>L54+'2022-23 Form Distr'!L27</f>
        <v>1992309000</v>
      </c>
      <c r="M56" s="89">
        <f>M54+'2022-23 Form Distr'!M27</f>
        <v>180647600</v>
      </c>
      <c r="N56" s="89">
        <f>N54+'2022-23 Form Distr'!N27</f>
        <v>2172956600</v>
      </c>
      <c r="O56" s="89">
        <f>O54+'2022-23 Form Distr'!O27</f>
        <v>214069400</v>
      </c>
      <c r="P56" s="190">
        <f t="shared" si="24"/>
        <v>0.12038276506720466</v>
      </c>
      <c r="Q56" s="53"/>
    </row>
    <row r="57" spans="1:18" s="34" customFormat="1" x14ac:dyDescent="0.35">
      <c r="A57" s="37"/>
      <c r="B57" s="136"/>
      <c r="C57" s="37"/>
      <c r="D57" s="112"/>
      <c r="E57" s="37"/>
      <c r="F57" s="110"/>
      <c r="G57" s="110"/>
      <c r="H57" s="110"/>
      <c r="I57" s="112"/>
      <c r="J57" s="136"/>
      <c r="K57" s="112"/>
      <c r="L57" s="110"/>
      <c r="M57" s="110"/>
      <c r="N57" s="110"/>
      <c r="O57" s="110"/>
      <c r="P57" s="173"/>
    </row>
    <row r="58" spans="1:18" s="34" customFormat="1" x14ac:dyDescent="0.35">
      <c r="A58" s="39" t="s">
        <v>35</v>
      </c>
      <c r="B58" s="136"/>
      <c r="C58" s="37"/>
      <c r="D58" s="112"/>
      <c r="E58" s="37"/>
      <c r="F58" s="110"/>
      <c r="G58" s="110"/>
      <c r="H58" s="110"/>
      <c r="I58" s="112"/>
      <c r="J58" s="136"/>
      <c r="K58" s="112"/>
      <c r="L58" s="110"/>
      <c r="M58" s="110"/>
      <c r="N58" s="110"/>
      <c r="O58" s="110"/>
      <c r="P58" s="173"/>
    </row>
    <row r="59" spans="1:18" s="34" customFormat="1" x14ac:dyDescent="0.35">
      <c r="A59" s="37" t="s">
        <v>36</v>
      </c>
      <c r="B59" s="133">
        <v>19045000</v>
      </c>
      <c r="C59" s="168">
        <v>0</v>
      </c>
      <c r="D59" s="84">
        <f t="shared" ref="D59:D77" si="42">SUM(B59:C59)</f>
        <v>19045000</v>
      </c>
      <c r="E59" s="168">
        <v>0</v>
      </c>
      <c r="F59" s="83">
        <v>650400</v>
      </c>
      <c r="G59" s="83">
        <v>0</v>
      </c>
      <c r="H59" s="83">
        <v>33200</v>
      </c>
      <c r="I59" s="246">
        <v>0</v>
      </c>
      <c r="J59" s="133">
        <v>0</v>
      </c>
      <c r="K59" s="84"/>
      <c r="L59" s="83">
        <f t="shared" ref="L59:L64" si="43">SUM(D59,E59:I59)</f>
        <v>19728600</v>
      </c>
      <c r="M59" s="83">
        <f t="shared" ref="M59:M64" si="44">SUM(J59:K59)</f>
        <v>0</v>
      </c>
      <c r="N59" s="83">
        <f t="shared" ref="N59:N66" si="45">L59+M59</f>
        <v>19728600</v>
      </c>
      <c r="O59" s="83">
        <f t="shared" ref="O59:O64" si="46">L59-B59</f>
        <v>683600</v>
      </c>
      <c r="P59" s="173">
        <f t="shared" ref="P59:P78" si="47">IFERROR((O59/B59),"NA")</f>
        <v>3.5893935416119717E-2</v>
      </c>
    </row>
    <row r="60" spans="1:18" s="34" customFormat="1" x14ac:dyDescent="0.35">
      <c r="A60" s="37" t="s">
        <v>37</v>
      </c>
      <c r="B60" s="134">
        <v>1381700</v>
      </c>
      <c r="C60" s="170">
        <v>0</v>
      </c>
      <c r="D60" s="171">
        <f t="shared" si="42"/>
        <v>1381700</v>
      </c>
      <c r="E60" s="170">
        <v>0</v>
      </c>
      <c r="F60" s="172">
        <v>44000</v>
      </c>
      <c r="G60" s="172">
        <v>0</v>
      </c>
      <c r="H60" s="172">
        <v>5600</v>
      </c>
      <c r="I60" s="247">
        <v>0</v>
      </c>
      <c r="J60" s="134">
        <v>0</v>
      </c>
      <c r="K60" s="171"/>
      <c r="L60" s="172">
        <f t="shared" si="43"/>
        <v>1431300</v>
      </c>
      <c r="M60" s="172">
        <f t="shared" si="44"/>
        <v>0</v>
      </c>
      <c r="N60" s="172">
        <f t="shared" si="45"/>
        <v>1431300</v>
      </c>
      <c r="O60" s="172">
        <f t="shared" si="46"/>
        <v>49600</v>
      </c>
      <c r="P60" s="173">
        <f t="shared" si="47"/>
        <v>3.5897807049287113E-2</v>
      </c>
    </row>
    <row r="61" spans="1:18" s="34" customFormat="1" ht="15.75" customHeight="1" x14ac:dyDescent="0.35">
      <c r="A61" s="37" t="s">
        <v>86</v>
      </c>
      <c r="B61" s="134">
        <v>1211800</v>
      </c>
      <c r="C61" s="170">
        <v>0</v>
      </c>
      <c r="D61" s="171">
        <f t="shared" si="42"/>
        <v>1211800</v>
      </c>
      <c r="E61" s="170">
        <v>0</v>
      </c>
      <c r="F61" s="172">
        <v>0</v>
      </c>
      <c r="G61" s="172">
        <v>0</v>
      </c>
      <c r="H61" s="172">
        <v>0</v>
      </c>
      <c r="I61" s="171">
        <v>0</v>
      </c>
      <c r="J61" s="134">
        <v>0</v>
      </c>
      <c r="K61" s="171"/>
      <c r="L61" s="172">
        <f t="shared" si="43"/>
        <v>1211800</v>
      </c>
      <c r="M61" s="172">
        <f t="shared" si="44"/>
        <v>0</v>
      </c>
      <c r="N61" s="172">
        <f t="shared" si="45"/>
        <v>1211800</v>
      </c>
      <c r="O61" s="172">
        <f t="shared" si="46"/>
        <v>0</v>
      </c>
      <c r="P61" s="173">
        <f t="shared" si="47"/>
        <v>0</v>
      </c>
    </row>
    <row r="62" spans="1:18" s="34" customFormat="1" x14ac:dyDescent="0.35">
      <c r="A62" s="37" t="s">
        <v>38</v>
      </c>
      <c r="B62" s="141">
        <v>5806700</v>
      </c>
      <c r="C62" s="170">
        <v>0</v>
      </c>
      <c r="D62" s="171">
        <f t="shared" si="42"/>
        <v>5806700</v>
      </c>
      <c r="E62" s="170">
        <v>0</v>
      </c>
      <c r="F62" s="172">
        <v>0</v>
      </c>
      <c r="G62" s="172">
        <v>0</v>
      </c>
      <c r="H62" s="172">
        <v>0</v>
      </c>
      <c r="I62" s="171">
        <v>0</v>
      </c>
      <c r="J62" s="134">
        <v>0</v>
      </c>
      <c r="K62" s="171"/>
      <c r="L62" s="172">
        <f t="shared" si="43"/>
        <v>5806700</v>
      </c>
      <c r="M62" s="172">
        <f t="shared" si="44"/>
        <v>0</v>
      </c>
      <c r="N62" s="172">
        <f t="shared" si="45"/>
        <v>5806700</v>
      </c>
      <c r="O62" s="172">
        <f t="shared" si="46"/>
        <v>0</v>
      </c>
      <c r="P62" s="173">
        <f t="shared" si="47"/>
        <v>0</v>
      </c>
    </row>
    <row r="63" spans="1:18" s="34" customFormat="1" x14ac:dyDescent="0.35">
      <c r="A63" s="37" t="s">
        <v>39</v>
      </c>
      <c r="B63" s="141">
        <v>10256900</v>
      </c>
      <c r="C63" s="170">
        <v>0</v>
      </c>
      <c r="D63" s="171">
        <f t="shared" si="42"/>
        <v>10256900</v>
      </c>
      <c r="E63" s="170">
        <v>0</v>
      </c>
      <c r="F63" s="172">
        <v>0</v>
      </c>
      <c r="G63" s="172">
        <v>0</v>
      </c>
      <c r="H63" s="172">
        <v>0</v>
      </c>
      <c r="I63" s="171">
        <v>0</v>
      </c>
      <c r="J63" s="134">
        <v>0</v>
      </c>
      <c r="K63" s="171"/>
      <c r="L63" s="172">
        <f t="shared" si="43"/>
        <v>10256900</v>
      </c>
      <c r="M63" s="172">
        <f t="shared" si="44"/>
        <v>0</v>
      </c>
      <c r="N63" s="172">
        <f>L63+M63</f>
        <v>10256900</v>
      </c>
      <c r="O63" s="172">
        <f t="shared" si="46"/>
        <v>0</v>
      </c>
      <c r="P63" s="173">
        <f t="shared" si="47"/>
        <v>0</v>
      </c>
    </row>
    <row r="64" spans="1:18" s="34" customFormat="1" x14ac:dyDescent="0.35">
      <c r="A64" s="40" t="s">
        <v>41</v>
      </c>
      <c r="B64" s="141">
        <v>5852900</v>
      </c>
      <c r="C64" s="170">
        <v>0</v>
      </c>
      <c r="D64" s="171">
        <f>SUM(B64:C64)</f>
        <v>5852900</v>
      </c>
      <c r="E64" s="170">
        <v>0</v>
      </c>
      <c r="F64" s="172">
        <v>0</v>
      </c>
      <c r="G64" s="172">
        <v>0</v>
      </c>
      <c r="H64" s="172">
        <v>0</v>
      </c>
      <c r="I64" s="171">
        <v>0</v>
      </c>
      <c r="J64" s="134">
        <v>0</v>
      </c>
      <c r="K64" s="171"/>
      <c r="L64" s="172">
        <f t="shared" si="43"/>
        <v>5852900</v>
      </c>
      <c r="M64" s="172">
        <f t="shared" si="44"/>
        <v>0</v>
      </c>
      <c r="N64" s="172">
        <f>L64+M64</f>
        <v>5852900</v>
      </c>
      <c r="O64" s="172">
        <f t="shared" si="46"/>
        <v>0</v>
      </c>
      <c r="P64" s="173">
        <f t="shared" si="47"/>
        <v>0</v>
      </c>
    </row>
    <row r="65" spans="1:17" s="34" customFormat="1" x14ac:dyDescent="0.35">
      <c r="A65" s="37" t="s">
        <v>40</v>
      </c>
      <c r="B65" s="141">
        <f t="shared" ref="B65:O65" si="48">SUM(B66:B77)</f>
        <v>15417200</v>
      </c>
      <c r="C65" s="170">
        <f t="shared" si="48"/>
        <v>-6756000</v>
      </c>
      <c r="D65" s="171">
        <f t="shared" si="48"/>
        <v>8661200</v>
      </c>
      <c r="E65" s="170">
        <f t="shared" si="48"/>
        <v>0</v>
      </c>
      <c r="F65" s="172">
        <f t="shared" si="48"/>
        <v>0</v>
      </c>
      <c r="G65" s="172">
        <f t="shared" si="48"/>
        <v>0</v>
      </c>
      <c r="H65" s="172">
        <f t="shared" si="48"/>
        <v>0</v>
      </c>
      <c r="I65" s="171">
        <f t="shared" si="48"/>
        <v>0</v>
      </c>
      <c r="J65" s="134">
        <f t="shared" si="48"/>
        <v>64500000</v>
      </c>
      <c r="K65" s="171">
        <f t="shared" si="48"/>
        <v>0</v>
      </c>
      <c r="L65" s="172">
        <f t="shared" si="48"/>
        <v>8661200</v>
      </c>
      <c r="M65" s="172">
        <f t="shared" si="48"/>
        <v>64500000</v>
      </c>
      <c r="N65" s="172">
        <f t="shared" si="48"/>
        <v>73161200</v>
      </c>
      <c r="O65" s="172">
        <f t="shared" si="48"/>
        <v>-6756000</v>
      </c>
      <c r="P65" s="173">
        <f t="shared" si="47"/>
        <v>-0.43821186726513245</v>
      </c>
      <c r="Q65" s="228"/>
    </row>
    <row r="66" spans="1:17" s="54" customFormat="1" x14ac:dyDescent="0.35">
      <c r="A66" s="42" t="s">
        <v>81</v>
      </c>
      <c r="B66" s="144">
        <v>5625600</v>
      </c>
      <c r="C66" s="225">
        <f>-2375000-125000</f>
        <v>-2500000</v>
      </c>
      <c r="D66" s="169">
        <f t="shared" si="42"/>
        <v>3125600</v>
      </c>
      <c r="E66" s="225">
        <v>0</v>
      </c>
      <c r="F66" s="177">
        <v>0</v>
      </c>
      <c r="G66" s="177">
        <v>0</v>
      </c>
      <c r="H66" s="177">
        <v>0</v>
      </c>
      <c r="I66" s="169">
        <v>0</v>
      </c>
      <c r="J66" s="137">
        <v>0</v>
      </c>
      <c r="K66" s="169"/>
      <c r="L66" s="177">
        <f t="shared" ref="L66:L77" si="49">SUM(D66,E66:I66)</f>
        <v>3125600</v>
      </c>
      <c r="M66" s="177">
        <f t="shared" ref="M66:M77" si="50">SUM(J66:K66)</f>
        <v>0</v>
      </c>
      <c r="N66" s="177">
        <f t="shared" si="45"/>
        <v>3125600</v>
      </c>
      <c r="O66" s="177">
        <f t="shared" ref="O66:O77" si="51">L66-B66</f>
        <v>-2500000</v>
      </c>
      <c r="P66" s="178">
        <f t="shared" si="47"/>
        <v>-0.44439704209328784</v>
      </c>
    </row>
    <row r="67" spans="1:17" s="54" customFormat="1" x14ac:dyDescent="0.35">
      <c r="A67" s="45" t="s">
        <v>99</v>
      </c>
      <c r="B67" s="145">
        <v>150000</v>
      </c>
      <c r="C67" s="226">
        <v>0</v>
      </c>
      <c r="D67" s="183">
        <f t="shared" si="42"/>
        <v>150000</v>
      </c>
      <c r="E67" s="226">
        <v>0</v>
      </c>
      <c r="F67" s="197">
        <v>0</v>
      </c>
      <c r="G67" s="197">
        <v>0</v>
      </c>
      <c r="H67" s="197">
        <v>0</v>
      </c>
      <c r="I67" s="183">
        <v>0</v>
      </c>
      <c r="J67" s="142">
        <v>0</v>
      </c>
      <c r="K67" s="183"/>
      <c r="L67" s="197">
        <f t="shared" si="49"/>
        <v>150000</v>
      </c>
      <c r="M67" s="197">
        <f t="shared" si="50"/>
        <v>0</v>
      </c>
      <c r="N67" s="197">
        <f t="shared" ref="N67:N77" si="52">L67+M67</f>
        <v>150000</v>
      </c>
      <c r="O67" s="197">
        <f t="shared" si="51"/>
        <v>0</v>
      </c>
      <c r="P67" s="199">
        <f t="shared" si="47"/>
        <v>0</v>
      </c>
    </row>
    <row r="68" spans="1:17" s="54" customFormat="1" x14ac:dyDescent="0.35">
      <c r="A68" s="45" t="s">
        <v>91</v>
      </c>
      <c r="B68" s="145">
        <v>1100000</v>
      </c>
      <c r="C68" s="226">
        <v>0</v>
      </c>
      <c r="D68" s="183">
        <f t="shared" ref="D68:D73" si="53">SUM(B68:C68)</f>
        <v>1100000</v>
      </c>
      <c r="E68" s="226">
        <v>0</v>
      </c>
      <c r="F68" s="197">
        <v>0</v>
      </c>
      <c r="G68" s="197">
        <v>0</v>
      </c>
      <c r="H68" s="197">
        <v>0</v>
      </c>
      <c r="I68" s="183">
        <v>0</v>
      </c>
      <c r="J68" s="142">
        <v>0</v>
      </c>
      <c r="K68" s="183"/>
      <c r="L68" s="197">
        <f t="shared" si="49"/>
        <v>1100000</v>
      </c>
      <c r="M68" s="197">
        <f t="shared" si="50"/>
        <v>0</v>
      </c>
      <c r="N68" s="197">
        <f t="shared" ref="N68:N73" si="54">L68+M68</f>
        <v>1100000</v>
      </c>
      <c r="O68" s="197">
        <f t="shared" si="51"/>
        <v>0</v>
      </c>
      <c r="P68" s="199">
        <f t="shared" si="47"/>
        <v>0</v>
      </c>
    </row>
    <row r="69" spans="1:17" s="54" customFormat="1" x14ac:dyDescent="0.35">
      <c r="A69" s="45" t="s">
        <v>92</v>
      </c>
      <c r="B69" s="145">
        <v>0</v>
      </c>
      <c r="C69" s="226">
        <v>0</v>
      </c>
      <c r="D69" s="183">
        <f t="shared" si="53"/>
        <v>0</v>
      </c>
      <c r="E69" s="226">
        <v>0</v>
      </c>
      <c r="F69" s="197">
        <v>0</v>
      </c>
      <c r="G69" s="197">
        <v>0</v>
      </c>
      <c r="H69" s="197">
        <v>0</v>
      </c>
      <c r="I69" s="183">
        <v>0</v>
      </c>
      <c r="J69" s="142">
        <v>0</v>
      </c>
      <c r="K69" s="183"/>
      <c r="L69" s="197">
        <f t="shared" si="49"/>
        <v>0</v>
      </c>
      <c r="M69" s="197">
        <f t="shared" si="50"/>
        <v>0</v>
      </c>
      <c r="N69" s="197">
        <f t="shared" si="54"/>
        <v>0</v>
      </c>
      <c r="O69" s="197">
        <f t="shared" si="51"/>
        <v>0</v>
      </c>
      <c r="P69" s="199" t="str">
        <f t="shared" si="47"/>
        <v>NA</v>
      </c>
    </row>
    <row r="70" spans="1:17" s="54" customFormat="1" x14ac:dyDescent="0.35">
      <c r="A70" s="45" t="s">
        <v>82</v>
      </c>
      <c r="B70" s="145">
        <v>250000</v>
      </c>
      <c r="C70" s="226">
        <v>0</v>
      </c>
      <c r="D70" s="183">
        <f t="shared" si="53"/>
        <v>250000</v>
      </c>
      <c r="E70" s="226">
        <v>0</v>
      </c>
      <c r="F70" s="197">
        <v>0</v>
      </c>
      <c r="G70" s="197">
        <v>0</v>
      </c>
      <c r="H70" s="197">
        <v>0</v>
      </c>
      <c r="I70" s="183">
        <v>0</v>
      </c>
      <c r="J70" s="142">
        <v>0</v>
      </c>
      <c r="K70" s="183"/>
      <c r="L70" s="197">
        <f t="shared" si="49"/>
        <v>250000</v>
      </c>
      <c r="M70" s="197">
        <f t="shared" si="50"/>
        <v>0</v>
      </c>
      <c r="N70" s="197">
        <f t="shared" si="54"/>
        <v>250000</v>
      </c>
      <c r="O70" s="197">
        <f t="shared" si="51"/>
        <v>0</v>
      </c>
      <c r="P70" s="199">
        <f t="shared" si="47"/>
        <v>0</v>
      </c>
    </row>
    <row r="71" spans="1:17" s="34" customFormat="1" x14ac:dyDescent="0.35">
      <c r="A71" s="45" t="s">
        <v>90</v>
      </c>
      <c r="B71" s="145">
        <v>1910600</v>
      </c>
      <c r="C71" s="226">
        <v>125000</v>
      </c>
      <c r="D71" s="183">
        <f t="shared" si="53"/>
        <v>2035600</v>
      </c>
      <c r="E71" s="226">
        <v>0</v>
      </c>
      <c r="F71" s="197">
        <v>0</v>
      </c>
      <c r="G71" s="197">
        <v>0</v>
      </c>
      <c r="H71" s="197">
        <v>0</v>
      </c>
      <c r="I71" s="183">
        <v>0</v>
      </c>
      <c r="J71" s="142">
        <v>0</v>
      </c>
      <c r="K71" s="183"/>
      <c r="L71" s="197">
        <f t="shared" si="49"/>
        <v>2035600</v>
      </c>
      <c r="M71" s="197">
        <f t="shared" si="50"/>
        <v>0</v>
      </c>
      <c r="N71" s="197">
        <f t="shared" si="54"/>
        <v>2035600</v>
      </c>
      <c r="O71" s="197">
        <f t="shared" si="51"/>
        <v>125000</v>
      </c>
      <c r="P71" s="199">
        <f t="shared" si="47"/>
        <v>6.5424473987229143E-2</v>
      </c>
    </row>
    <row r="72" spans="1:17" s="54" customFormat="1" x14ac:dyDescent="0.35">
      <c r="A72" s="45" t="s">
        <v>80</v>
      </c>
      <c r="B72" s="145">
        <v>881000</v>
      </c>
      <c r="C72" s="226">
        <v>-881000</v>
      </c>
      <c r="D72" s="183">
        <f t="shared" si="53"/>
        <v>0</v>
      </c>
      <c r="E72" s="226">
        <v>0</v>
      </c>
      <c r="F72" s="197">
        <v>0</v>
      </c>
      <c r="G72" s="197">
        <v>0</v>
      </c>
      <c r="H72" s="197">
        <v>0</v>
      </c>
      <c r="I72" s="183">
        <v>0</v>
      </c>
      <c r="J72" s="142">
        <v>0</v>
      </c>
      <c r="K72" s="183"/>
      <c r="L72" s="197">
        <f t="shared" si="49"/>
        <v>0</v>
      </c>
      <c r="M72" s="197">
        <f t="shared" si="50"/>
        <v>0</v>
      </c>
      <c r="N72" s="197">
        <f t="shared" si="54"/>
        <v>0</v>
      </c>
      <c r="O72" s="197">
        <f t="shared" si="51"/>
        <v>-881000</v>
      </c>
      <c r="P72" s="199">
        <f t="shared" si="47"/>
        <v>-1</v>
      </c>
    </row>
    <row r="73" spans="1:17" s="54" customFormat="1" hidden="1" x14ac:dyDescent="0.35">
      <c r="A73" s="45" t="s">
        <v>105</v>
      </c>
      <c r="B73" s="145">
        <v>0</v>
      </c>
      <c r="C73" s="226">
        <v>0</v>
      </c>
      <c r="D73" s="183">
        <f t="shared" si="53"/>
        <v>0</v>
      </c>
      <c r="E73" s="226">
        <v>0</v>
      </c>
      <c r="F73" s="197">
        <v>0</v>
      </c>
      <c r="G73" s="197">
        <v>0</v>
      </c>
      <c r="H73" s="197">
        <v>0</v>
      </c>
      <c r="I73" s="183">
        <v>0</v>
      </c>
      <c r="J73" s="142">
        <v>0</v>
      </c>
      <c r="K73" s="183"/>
      <c r="L73" s="197">
        <f t="shared" si="49"/>
        <v>0</v>
      </c>
      <c r="M73" s="197">
        <f t="shared" si="50"/>
        <v>0</v>
      </c>
      <c r="N73" s="197">
        <f t="shared" si="54"/>
        <v>0</v>
      </c>
      <c r="O73" s="197">
        <f t="shared" si="51"/>
        <v>0</v>
      </c>
      <c r="P73" s="199" t="str">
        <f t="shared" si="47"/>
        <v>NA</v>
      </c>
    </row>
    <row r="74" spans="1:17" s="54" customFormat="1" x14ac:dyDescent="0.35">
      <c r="A74" s="45" t="s">
        <v>111</v>
      </c>
      <c r="B74" s="145">
        <v>0</v>
      </c>
      <c r="C74" s="226">
        <v>0</v>
      </c>
      <c r="D74" s="183">
        <f t="shared" si="42"/>
        <v>0</v>
      </c>
      <c r="E74" s="226">
        <v>0</v>
      </c>
      <c r="F74" s="197">
        <v>0</v>
      </c>
      <c r="G74" s="197">
        <v>0</v>
      </c>
      <c r="H74" s="197">
        <v>0</v>
      </c>
      <c r="I74" s="183">
        <v>0</v>
      </c>
      <c r="J74" s="142">
        <v>40000000</v>
      </c>
      <c r="K74" s="183"/>
      <c r="L74" s="197">
        <f t="shared" si="49"/>
        <v>0</v>
      </c>
      <c r="M74" s="197">
        <f t="shared" si="50"/>
        <v>40000000</v>
      </c>
      <c r="N74" s="197">
        <f t="shared" si="52"/>
        <v>40000000</v>
      </c>
      <c r="O74" s="197">
        <f t="shared" si="51"/>
        <v>0</v>
      </c>
      <c r="P74" s="199" t="str">
        <f t="shared" si="47"/>
        <v>NA</v>
      </c>
    </row>
    <row r="75" spans="1:17" s="54" customFormat="1" x14ac:dyDescent="0.35">
      <c r="A75" s="45" t="s">
        <v>110</v>
      </c>
      <c r="B75" s="145">
        <v>0</v>
      </c>
      <c r="C75" s="226">
        <v>0</v>
      </c>
      <c r="D75" s="183">
        <f t="shared" si="42"/>
        <v>0</v>
      </c>
      <c r="E75" s="226">
        <v>0</v>
      </c>
      <c r="F75" s="197">
        <v>0</v>
      </c>
      <c r="G75" s="197">
        <v>0</v>
      </c>
      <c r="H75" s="197">
        <v>0</v>
      </c>
      <c r="I75" s="183">
        <v>0</v>
      </c>
      <c r="J75" s="142">
        <v>10000000</v>
      </c>
      <c r="K75" s="183"/>
      <c r="L75" s="197">
        <f t="shared" si="49"/>
        <v>0</v>
      </c>
      <c r="M75" s="197">
        <f t="shared" si="50"/>
        <v>10000000</v>
      </c>
      <c r="N75" s="197">
        <f t="shared" si="52"/>
        <v>10000000</v>
      </c>
      <c r="O75" s="197">
        <f t="shared" si="51"/>
        <v>0</v>
      </c>
      <c r="P75" s="199" t="str">
        <f t="shared" si="47"/>
        <v>NA</v>
      </c>
    </row>
    <row r="76" spans="1:17" s="54" customFormat="1" x14ac:dyDescent="0.35">
      <c r="A76" s="45" t="s">
        <v>106</v>
      </c>
      <c r="B76" s="145">
        <v>5500000</v>
      </c>
      <c r="C76" s="226">
        <v>-3500000</v>
      </c>
      <c r="D76" s="183">
        <f>SUM(B76:C76)</f>
        <v>2000000</v>
      </c>
      <c r="E76" s="226">
        <v>0</v>
      </c>
      <c r="F76" s="197">
        <v>0</v>
      </c>
      <c r="G76" s="197">
        <v>0</v>
      </c>
      <c r="H76" s="197">
        <v>0</v>
      </c>
      <c r="I76" s="183">
        <f>18600000-18600000</f>
        <v>0</v>
      </c>
      <c r="J76" s="142">
        <v>0</v>
      </c>
      <c r="K76" s="183"/>
      <c r="L76" s="197">
        <f t="shared" si="49"/>
        <v>2000000</v>
      </c>
      <c r="M76" s="197">
        <f t="shared" si="50"/>
        <v>0</v>
      </c>
      <c r="N76" s="197">
        <f>L76+M76</f>
        <v>2000000</v>
      </c>
      <c r="O76" s="197">
        <f t="shared" si="51"/>
        <v>-3500000</v>
      </c>
      <c r="P76" s="199">
        <f t="shared" si="47"/>
        <v>-0.63636363636363635</v>
      </c>
    </row>
    <row r="77" spans="1:17" s="54" customFormat="1" x14ac:dyDescent="0.35">
      <c r="A77" s="46" t="s">
        <v>108</v>
      </c>
      <c r="B77" s="146">
        <v>0</v>
      </c>
      <c r="C77" s="179">
        <v>0</v>
      </c>
      <c r="D77" s="180">
        <f t="shared" si="42"/>
        <v>0</v>
      </c>
      <c r="E77" s="179">
        <v>0</v>
      </c>
      <c r="F77" s="191">
        <v>0</v>
      </c>
      <c r="G77" s="191">
        <v>0</v>
      </c>
      <c r="H77" s="191">
        <v>0</v>
      </c>
      <c r="I77" s="180">
        <v>0</v>
      </c>
      <c r="J77" s="138">
        <v>14500000</v>
      </c>
      <c r="K77" s="180"/>
      <c r="L77" s="191">
        <f t="shared" si="49"/>
        <v>0</v>
      </c>
      <c r="M77" s="191">
        <f t="shared" si="50"/>
        <v>14500000</v>
      </c>
      <c r="N77" s="191">
        <f t="shared" si="52"/>
        <v>14500000</v>
      </c>
      <c r="O77" s="191">
        <f t="shared" si="51"/>
        <v>0</v>
      </c>
      <c r="P77" s="192" t="str">
        <f t="shared" si="47"/>
        <v>NA</v>
      </c>
    </row>
    <row r="78" spans="1:17" s="34" customFormat="1" x14ac:dyDescent="0.35">
      <c r="A78" s="41" t="s">
        <v>7</v>
      </c>
      <c r="B78" s="140">
        <f t="shared" ref="B78:O78" si="55">SUM(B59:B65)</f>
        <v>58972200</v>
      </c>
      <c r="C78" s="91">
        <f t="shared" si="55"/>
        <v>-6756000</v>
      </c>
      <c r="D78" s="90">
        <f t="shared" si="55"/>
        <v>52216200</v>
      </c>
      <c r="E78" s="91">
        <f t="shared" si="55"/>
        <v>0</v>
      </c>
      <c r="F78" s="89">
        <f t="shared" si="55"/>
        <v>694400</v>
      </c>
      <c r="G78" s="89">
        <f t="shared" si="55"/>
        <v>0</v>
      </c>
      <c r="H78" s="89">
        <f t="shared" si="55"/>
        <v>38800</v>
      </c>
      <c r="I78" s="90">
        <f t="shared" si="55"/>
        <v>0</v>
      </c>
      <c r="J78" s="140">
        <f t="shared" si="55"/>
        <v>64500000</v>
      </c>
      <c r="K78" s="90">
        <f t="shared" ref="K78" si="56">SUM(K59:K65)</f>
        <v>0</v>
      </c>
      <c r="L78" s="89">
        <f t="shared" si="55"/>
        <v>52949400</v>
      </c>
      <c r="M78" s="89">
        <f t="shared" si="55"/>
        <v>64500000</v>
      </c>
      <c r="N78" s="89">
        <f t="shared" si="55"/>
        <v>117449400</v>
      </c>
      <c r="O78" s="89">
        <f t="shared" si="55"/>
        <v>-6022800</v>
      </c>
      <c r="P78" s="190">
        <f t="shared" si="47"/>
        <v>-0.10212947795741044</v>
      </c>
    </row>
    <row r="79" spans="1:17" s="34" customFormat="1" x14ac:dyDescent="0.35">
      <c r="A79" s="37"/>
      <c r="B79" s="136"/>
      <c r="C79" s="37"/>
      <c r="D79" s="112"/>
      <c r="E79" s="37"/>
      <c r="F79" s="110"/>
      <c r="G79" s="110"/>
      <c r="H79" s="110"/>
      <c r="I79" s="112"/>
      <c r="J79" s="136"/>
      <c r="K79" s="112"/>
      <c r="L79" s="110"/>
      <c r="M79" s="110"/>
      <c r="N79" s="110"/>
      <c r="O79" s="110"/>
      <c r="P79" s="173"/>
    </row>
    <row r="80" spans="1:17" s="34" customFormat="1" ht="18.75" thickBot="1" x14ac:dyDescent="0.4">
      <c r="A80" s="49" t="s">
        <v>67</v>
      </c>
      <c r="B80" s="147">
        <f t="shared" ref="B80:O80" si="57">B56+B78</f>
        <v>1837211800</v>
      </c>
      <c r="C80" s="97">
        <f t="shared" si="57"/>
        <v>-4089700</v>
      </c>
      <c r="D80" s="113">
        <f t="shared" si="57"/>
        <v>1833820800</v>
      </c>
      <c r="E80" s="97">
        <f t="shared" si="57"/>
        <v>95225000</v>
      </c>
      <c r="F80" s="111">
        <f t="shared" si="57"/>
        <v>66281000</v>
      </c>
      <c r="G80" s="111">
        <f t="shared" si="57"/>
        <v>14592600</v>
      </c>
      <c r="H80" s="111">
        <f t="shared" si="57"/>
        <v>4396700</v>
      </c>
      <c r="I80" s="113">
        <f t="shared" si="57"/>
        <v>30942300</v>
      </c>
      <c r="J80" s="147">
        <f t="shared" si="57"/>
        <v>224481000</v>
      </c>
      <c r="K80" s="113">
        <f t="shared" ref="K80" si="58">K56+K78</f>
        <v>20666600</v>
      </c>
      <c r="L80" s="111">
        <f t="shared" si="57"/>
        <v>2045258400</v>
      </c>
      <c r="M80" s="111">
        <f t="shared" si="57"/>
        <v>245147600</v>
      </c>
      <c r="N80" s="111">
        <f t="shared" si="57"/>
        <v>2290406000</v>
      </c>
      <c r="O80" s="111">
        <f t="shared" si="57"/>
        <v>208046600</v>
      </c>
      <c r="P80" s="211">
        <f t="shared" ref="P80" si="59">IFERROR((O80/B80),"NA")</f>
        <v>0.11324040048077201</v>
      </c>
      <c r="Q80" s="53"/>
    </row>
    <row r="81" spans="1:18" s="34" customFormat="1" ht="20.25" customHeight="1" thickBot="1" x14ac:dyDescent="0.4">
      <c r="A81" s="50"/>
      <c r="B81" s="148"/>
      <c r="C81" s="210"/>
      <c r="D81" s="185"/>
      <c r="E81" s="210"/>
      <c r="F81" s="50"/>
      <c r="G81" s="50"/>
      <c r="H81" s="50"/>
      <c r="I81" s="50"/>
      <c r="J81" s="50"/>
      <c r="K81" s="50"/>
      <c r="L81" s="50"/>
      <c r="M81" s="50"/>
      <c r="N81" s="212"/>
      <c r="O81" s="50"/>
      <c r="P81" s="50"/>
      <c r="Q81" s="213"/>
      <c r="R81" s="214"/>
    </row>
    <row r="82" spans="1:18" s="34" customFormat="1" ht="18.75" thickBot="1" x14ac:dyDescent="0.4">
      <c r="A82" s="51" t="s">
        <v>87</v>
      </c>
      <c r="B82" s="149">
        <v>50000000</v>
      </c>
      <c r="C82" s="149">
        <v>0</v>
      </c>
      <c r="D82" s="186">
        <f>SUM(B82:C82)</f>
        <v>50000000</v>
      </c>
      <c r="E82" s="149">
        <v>0</v>
      </c>
      <c r="F82" s="200">
        <v>0</v>
      </c>
      <c r="G82" s="200">
        <v>0</v>
      </c>
      <c r="H82" s="200">
        <v>0</v>
      </c>
      <c r="I82" s="200">
        <v>0</v>
      </c>
      <c r="J82" s="233">
        <v>0</v>
      </c>
      <c r="K82" s="186"/>
      <c r="L82" s="201">
        <f>SUM(D82,E82:I82)</f>
        <v>50000000</v>
      </c>
      <c r="M82" s="200">
        <f t="shared" ref="M82" si="60">SUM(J82:K82)</f>
        <v>0</v>
      </c>
      <c r="N82" s="202">
        <f t="shared" ref="N82" si="61">L82+M82</f>
        <v>50000000</v>
      </c>
      <c r="O82" s="202">
        <f>L82-B82</f>
        <v>0</v>
      </c>
      <c r="P82" s="203">
        <f t="shared" ref="P82" si="62">IFERROR((O82/B82),"NA")</f>
        <v>0</v>
      </c>
      <c r="Q82" s="53"/>
    </row>
    <row r="83" spans="1:18" s="34" customFormat="1" ht="20.25" hidden="1" customHeight="1" thickBot="1" x14ac:dyDescent="0.4">
      <c r="A83" s="50"/>
      <c r="B83" s="148"/>
      <c r="C83" s="210"/>
      <c r="D83" s="185"/>
      <c r="E83" s="210"/>
      <c r="F83" s="50"/>
      <c r="G83" s="50"/>
      <c r="H83" s="50"/>
      <c r="I83" s="50"/>
      <c r="J83" s="50"/>
      <c r="K83" s="50"/>
      <c r="L83" s="50"/>
      <c r="M83" s="50"/>
      <c r="N83" s="212"/>
      <c r="O83" s="50"/>
      <c r="P83" s="50"/>
      <c r="Q83" s="213"/>
      <c r="R83" s="214"/>
    </row>
    <row r="84" spans="1:18" s="34" customFormat="1" ht="18.75" hidden="1" thickBot="1" x14ac:dyDescent="0.4">
      <c r="A84" s="51" t="s">
        <v>98</v>
      </c>
      <c r="B84" s="149">
        <v>0</v>
      </c>
      <c r="C84" s="149">
        <v>0</v>
      </c>
      <c r="D84" s="186">
        <f>SUM(B84:C84)</f>
        <v>0</v>
      </c>
      <c r="E84" s="149">
        <v>0</v>
      </c>
      <c r="F84" s="200">
        <v>0</v>
      </c>
      <c r="G84" s="200">
        <v>0</v>
      </c>
      <c r="H84" s="200">
        <v>0</v>
      </c>
      <c r="I84" s="200">
        <v>0</v>
      </c>
      <c r="J84" s="200">
        <v>0</v>
      </c>
      <c r="K84" s="200"/>
      <c r="L84" s="201">
        <f>SUM(D84,E84:I84)</f>
        <v>0</v>
      </c>
      <c r="M84" s="200">
        <f>SUM(J84:J84)</f>
        <v>0</v>
      </c>
      <c r="N84" s="202">
        <f t="shared" ref="N84" si="63">L84+M84</f>
        <v>0</v>
      </c>
      <c r="O84" s="202">
        <f>L84-B84</f>
        <v>0</v>
      </c>
      <c r="P84" s="203" t="s">
        <v>65</v>
      </c>
      <c r="Q84" s="53"/>
    </row>
    <row r="85" spans="1:18" s="34" customFormat="1" ht="20.25" customHeight="1" thickBot="1" x14ac:dyDescent="0.4">
      <c r="A85" s="50"/>
      <c r="C85" s="148"/>
      <c r="D85" s="148"/>
      <c r="E85" s="210"/>
      <c r="F85" s="50"/>
      <c r="G85" s="50"/>
      <c r="H85" s="50"/>
      <c r="I85" s="50"/>
      <c r="J85" s="50"/>
      <c r="K85" s="50"/>
      <c r="L85" s="50"/>
      <c r="M85" s="50"/>
      <c r="N85" s="212">
        <f>N80+N82</f>
        <v>2340406000</v>
      </c>
      <c r="O85" s="50"/>
      <c r="P85" s="50"/>
      <c r="Q85" s="215"/>
      <c r="R85" s="214"/>
    </row>
    <row r="86" spans="1:18" s="34" customFormat="1" ht="18.75" thickBot="1" x14ac:dyDescent="0.4">
      <c r="A86" s="52" t="s">
        <v>74</v>
      </c>
      <c r="B86" s="150">
        <v>369000000</v>
      </c>
      <c r="C86" s="150">
        <v>5700000</v>
      </c>
      <c r="D86" s="187">
        <f>SUM(B86:C86)</f>
        <v>374700000</v>
      </c>
      <c r="E86" s="150">
        <v>0</v>
      </c>
      <c r="F86" s="216">
        <v>0</v>
      </c>
      <c r="G86" s="216">
        <v>0</v>
      </c>
      <c r="H86" s="216">
        <v>0</v>
      </c>
      <c r="I86" s="150">
        <f>88618000</f>
        <v>88618000</v>
      </c>
      <c r="J86" s="234">
        <v>0</v>
      </c>
      <c r="K86" s="187"/>
      <c r="L86" s="217">
        <f>SUM(D86,E86:I86)</f>
        <v>463318000</v>
      </c>
      <c r="M86" s="216">
        <f t="shared" ref="M86" si="64">SUM(J86:K86)</f>
        <v>0</v>
      </c>
      <c r="N86" s="218">
        <f t="shared" ref="N86" si="65">L86+M86</f>
        <v>463318000</v>
      </c>
      <c r="O86" s="218">
        <f>L86-B86</f>
        <v>94318000</v>
      </c>
      <c r="P86" s="219">
        <f t="shared" ref="P86" si="66">IFERROR((O86/B86),"NA")</f>
        <v>0.25560433604336041</v>
      </c>
      <c r="Q86" s="53"/>
    </row>
    <row r="87" spans="1:18" s="34" customFormat="1" ht="18.75" thickBot="1" x14ac:dyDescent="0.4">
      <c r="D87" s="188"/>
      <c r="F87" s="188"/>
      <c r="G87" s="188"/>
      <c r="H87" s="188"/>
      <c r="I87" s="188"/>
      <c r="J87" s="188"/>
      <c r="K87" s="188"/>
      <c r="L87" s="189"/>
      <c r="M87" s="189"/>
      <c r="N87" s="220"/>
      <c r="O87" s="189"/>
      <c r="P87" s="188"/>
      <c r="Q87" s="221"/>
      <c r="R87" s="221"/>
    </row>
    <row r="88" spans="1:18" s="34" customFormat="1" ht="18.75" thickBot="1" x14ac:dyDescent="0.4">
      <c r="A88" s="51" t="s">
        <v>97</v>
      </c>
      <c r="B88" s="149">
        <f>B80+B82+B84+B86</f>
        <v>2256211800</v>
      </c>
      <c r="C88" s="149">
        <f t="shared" ref="C88:N88" si="67">C80+C82+C84+C86</f>
        <v>1610300</v>
      </c>
      <c r="D88" s="186">
        <f t="shared" si="67"/>
        <v>2258520800</v>
      </c>
      <c r="E88" s="149">
        <f t="shared" si="67"/>
        <v>95225000</v>
      </c>
      <c r="F88" s="200">
        <f t="shared" si="67"/>
        <v>66281000</v>
      </c>
      <c r="G88" s="200">
        <f t="shared" si="67"/>
        <v>14592600</v>
      </c>
      <c r="H88" s="200">
        <f t="shared" si="67"/>
        <v>4396700</v>
      </c>
      <c r="I88" s="200">
        <f t="shared" si="67"/>
        <v>119560300</v>
      </c>
      <c r="J88" s="233">
        <f t="shared" si="67"/>
        <v>224481000</v>
      </c>
      <c r="K88" s="186">
        <f t="shared" si="67"/>
        <v>20666600</v>
      </c>
      <c r="L88" s="200">
        <f>L80+L82+L84+L86</f>
        <v>2558576400</v>
      </c>
      <c r="M88" s="200">
        <f>M80+M82+M84+M86</f>
        <v>245147600</v>
      </c>
      <c r="N88" s="202">
        <f t="shared" si="67"/>
        <v>2803724000</v>
      </c>
      <c r="O88" s="202">
        <f>O80+O82+O84+O86</f>
        <v>302364600</v>
      </c>
      <c r="P88" s="203">
        <f t="shared" ref="P88" si="68">IFERROR((O88/B88),"NA")</f>
        <v>0.13401428004232582</v>
      </c>
      <c r="Q88" s="221"/>
      <c r="R88" s="221"/>
    </row>
    <row r="89" spans="1:18" x14ac:dyDescent="0.35">
      <c r="A89" s="251"/>
      <c r="B89" s="151"/>
      <c r="C89" s="188"/>
      <c r="D89" s="188"/>
      <c r="E89" s="188"/>
      <c r="F89" s="188"/>
      <c r="G89" s="188"/>
      <c r="H89" s="188"/>
      <c r="I89" s="188"/>
      <c r="J89" s="188"/>
      <c r="K89" s="188"/>
      <c r="L89" s="11"/>
      <c r="M89" s="12"/>
      <c r="N89" s="13"/>
      <c r="O89" s="12"/>
      <c r="P89" s="11"/>
    </row>
    <row r="90" spans="1:18" s="252" customFormat="1" ht="15" x14ac:dyDescent="0.3">
      <c r="A90" s="251" t="s">
        <v>114</v>
      </c>
      <c r="B90" s="222">
        <f>B86+B82+B65+B61+B60+B59+B38+B37+B32</f>
        <v>580907100</v>
      </c>
      <c r="C90" s="222">
        <f t="shared" ref="C90:O90" si="69">C86+C82+C65+C61+C60+C59+C38+C37+C32</f>
        <v>-947000</v>
      </c>
      <c r="D90" s="222">
        <f t="shared" si="69"/>
        <v>579960100</v>
      </c>
      <c r="E90" s="222">
        <f t="shared" si="69"/>
        <v>0</v>
      </c>
      <c r="F90" s="222">
        <f t="shared" si="69"/>
        <v>694400</v>
      </c>
      <c r="G90" s="222">
        <f t="shared" si="69"/>
        <v>0</v>
      </c>
      <c r="H90" s="222">
        <f t="shared" si="69"/>
        <v>573300</v>
      </c>
      <c r="I90" s="222">
        <f t="shared" si="69"/>
        <v>88952400</v>
      </c>
      <c r="J90" s="222">
        <f t="shared" si="69"/>
        <v>64500000</v>
      </c>
      <c r="K90" s="222">
        <f t="shared" si="69"/>
        <v>33300</v>
      </c>
      <c r="L90" s="222">
        <f t="shared" si="69"/>
        <v>670180200</v>
      </c>
      <c r="M90" s="222">
        <f t="shared" si="69"/>
        <v>64533300</v>
      </c>
      <c r="N90" s="222">
        <f t="shared" si="69"/>
        <v>734713500</v>
      </c>
      <c r="O90" s="222">
        <f t="shared" si="69"/>
        <v>89273100</v>
      </c>
      <c r="P90" s="11"/>
      <c r="Q90" s="251"/>
      <c r="R90" s="251"/>
    </row>
    <row r="91" spans="1:18" s="252" customFormat="1" ht="15" x14ac:dyDescent="0.3">
      <c r="A91" s="251" t="s">
        <v>115</v>
      </c>
      <c r="B91" s="237">
        <f>'2022-23 Form Distr'!B13+'2022-23 Form Distr'!B21+'2022-23 Form Distr'!B25+'2022-23 SPU Distr'!B7+'2022-23 SPU Distr'!B8+'2022-23 SPU Distr'!B16+'2022-23 SPU Distr'!B17+'2022-23 SPU Distr'!B18+'2022-23 SPU Distr'!B19+'2022-23 SPU Distr'!B31+'2022-23 SPU Distr'!B63</f>
        <v>985848600</v>
      </c>
      <c r="C91" s="237">
        <f>'2022-23 Form Distr'!C13+'2022-23 Form Distr'!C21+'2022-23 Form Distr'!C25+'2022-23 SPU Distr'!C7+'2022-23 SPU Distr'!C8+'2022-23 SPU Distr'!C16+'2022-23 SPU Distr'!C17+'2022-23 SPU Distr'!C18+'2022-23 SPU Distr'!C19+'2022-23 SPU Distr'!C31+'2022-23 SPU Distr'!C63</f>
        <v>1810700</v>
      </c>
      <c r="D91" s="237">
        <f>'2022-23 Form Distr'!D13+'2022-23 Form Distr'!D21+'2022-23 Form Distr'!D25+'2022-23 SPU Distr'!D7+'2022-23 SPU Distr'!D8+'2022-23 SPU Distr'!D16+'2022-23 SPU Distr'!D17+'2022-23 SPU Distr'!D18+'2022-23 SPU Distr'!D19+'2022-23 SPU Distr'!D31+'2022-23 SPU Distr'!D63</f>
        <v>987659300</v>
      </c>
      <c r="E91" s="237">
        <f>'2022-23 Form Distr'!E13+'2022-23 Form Distr'!E21+'2022-23 Form Distr'!E25+'2022-23 SPU Distr'!E7+'2022-23 SPU Distr'!E8+'2022-23 SPU Distr'!E16+'2022-23 SPU Distr'!E17+'2022-23 SPU Distr'!E18+'2022-23 SPU Distr'!E19+'2022-23 SPU Distr'!E31+'2022-23 SPU Distr'!E63</f>
        <v>64723700</v>
      </c>
      <c r="F91" s="237">
        <f>'2022-23 Form Distr'!F13+'2022-23 Form Distr'!F21+'2022-23 Form Distr'!F25+'2022-23 SPU Distr'!F7+'2022-23 SPU Distr'!F8+'2022-23 SPU Distr'!F16+'2022-23 SPU Distr'!F17+'2022-23 SPU Distr'!F18+'2022-23 SPU Distr'!F19+'2022-23 SPU Distr'!F31+'2022-23 SPU Distr'!F63</f>
        <v>37190000</v>
      </c>
      <c r="G91" s="237">
        <f>'2022-23 Form Distr'!G13+'2022-23 Form Distr'!G21+'2022-23 Form Distr'!G25+'2022-23 SPU Distr'!G7+'2022-23 SPU Distr'!G8+'2022-23 SPU Distr'!G16+'2022-23 SPU Distr'!G17+'2022-23 SPU Distr'!G18+'2022-23 SPU Distr'!G19+'2022-23 SPU Distr'!G31+'2022-23 SPU Distr'!G63</f>
        <v>8363500</v>
      </c>
      <c r="H91" s="237">
        <f>'2022-23 Form Distr'!H13+'2022-23 Form Distr'!H21+'2022-23 Form Distr'!H25+'2022-23 SPU Distr'!H7+'2022-23 SPU Distr'!H8+'2022-23 SPU Distr'!H16+'2022-23 SPU Distr'!H17+'2022-23 SPU Distr'!H18+'2022-23 SPU Distr'!H19+'2022-23 SPU Distr'!H31+'2022-23 SPU Distr'!H63</f>
        <v>2809600</v>
      </c>
      <c r="I91" s="237">
        <f>'2022-23 Form Distr'!I13+'2022-23 Form Distr'!I21+'2022-23 Form Distr'!I25+'2022-23 SPU Distr'!I7+'2022-23 SPU Distr'!I8+'2022-23 SPU Distr'!I16+'2022-23 SPU Distr'!I17+'2022-23 SPU Distr'!I18+'2022-23 SPU Distr'!I19+'2022-23 SPU Distr'!I31+'2022-23 SPU Distr'!I63</f>
        <v>23739400</v>
      </c>
      <c r="J91" s="237">
        <f>'2022-23 Form Distr'!J13+'2022-23 Form Distr'!J21+'2022-23 Form Distr'!J25+'2022-23 SPU Distr'!J7+'2022-23 SPU Distr'!J8+'2022-23 SPU Distr'!J16+'2022-23 SPU Distr'!J17+'2022-23 SPU Distr'!J18+'2022-23 SPU Distr'!J19+'2022-23 SPU Distr'!J31+'2022-23 SPU Distr'!J63</f>
        <v>84481000</v>
      </c>
      <c r="K91" s="237">
        <f>'2022-23 Form Distr'!K13+'2022-23 Form Distr'!K21+'2022-23 Form Distr'!K25+'2022-23 SPU Distr'!K7+'2022-23 SPU Distr'!K8+'2022-23 SPU Distr'!K16+'2022-23 SPU Distr'!K17+'2022-23 SPU Distr'!K18+'2022-23 SPU Distr'!K19+'2022-23 SPU Distr'!K31+'2022-23 SPU Distr'!K63</f>
        <v>12827900</v>
      </c>
      <c r="L91" s="237">
        <f>'2022-23 Form Distr'!L13+'2022-23 Form Distr'!L21+'2022-23 Form Distr'!L25+'2022-23 SPU Distr'!L7+'2022-23 SPU Distr'!L8+'2022-23 SPU Distr'!L16+'2022-23 SPU Distr'!L17+'2022-23 SPU Distr'!L18+'2022-23 SPU Distr'!L19+'2022-23 SPU Distr'!L31+'2022-23 SPU Distr'!L63</f>
        <v>1124485500</v>
      </c>
      <c r="M91" s="237">
        <f>'2022-23 Form Distr'!M13+'2022-23 Form Distr'!M21+'2022-23 Form Distr'!M25+'2022-23 SPU Distr'!M7+'2022-23 SPU Distr'!M8+'2022-23 SPU Distr'!M16+'2022-23 SPU Distr'!M17+'2022-23 SPU Distr'!M18+'2022-23 SPU Distr'!M19+'2022-23 SPU Distr'!M31+'2022-23 SPU Distr'!M63</f>
        <v>97308900</v>
      </c>
      <c r="N91" s="237">
        <f>'2022-23 Form Distr'!N13+'2022-23 Form Distr'!N21+'2022-23 Form Distr'!N25+'2022-23 SPU Distr'!N7+'2022-23 SPU Distr'!N8+'2022-23 SPU Distr'!N16+'2022-23 SPU Distr'!N17+'2022-23 SPU Distr'!N18+'2022-23 SPU Distr'!N19+'2022-23 SPU Distr'!N31+'2022-23 SPU Distr'!N63</f>
        <v>1221794400</v>
      </c>
      <c r="O91" s="237">
        <f>'2022-23 Form Distr'!O13+'2022-23 Form Distr'!O21+'2022-23 Form Distr'!O25+'2022-23 SPU Distr'!O7+'2022-23 SPU Distr'!O8+'2022-23 SPU Distr'!O16+'2022-23 SPU Distr'!O17+'2022-23 SPU Distr'!O18+'2022-23 SPU Distr'!O19+'2022-23 SPU Distr'!O31+'2022-23 SPU Distr'!O63</f>
        <v>138636900</v>
      </c>
      <c r="P91" s="11"/>
      <c r="Q91" s="253"/>
      <c r="R91" s="253"/>
    </row>
    <row r="92" spans="1:18" s="252" customFormat="1" ht="15" x14ac:dyDescent="0.3">
      <c r="A92" s="251" t="s">
        <v>116</v>
      </c>
      <c r="B92" s="237">
        <f>'2022-23 Form Distr'!B19+'2022-23 SPU Distr'!B9+'2022-23 SPU Distr'!B10+'2022-23 SPU Distr'!B14+'2022-23 SPU Distr'!B15+'2022-23 SPU Distr'!B20+'2022-23 SPU Distr'!B21+'2022-23 SPU Distr'!B24+'2022-23 SPU Distr'!B25+'2022-23 SPU Distr'!B29+'2022-23 SPU Distr'!B30+'2022-23 SPU Distr'!B62+'2022-23 SPU Distr'!B64</f>
        <v>689456100</v>
      </c>
      <c r="C92" s="237">
        <f>'2022-23 Form Distr'!C19+'2022-23 SPU Distr'!C9+'2022-23 SPU Distr'!C10+'2022-23 SPU Distr'!C14+'2022-23 SPU Distr'!C15+'2022-23 SPU Distr'!C20+'2022-23 SPU Distr'!C21+'2022-23 SPU Distr'!C24+'2022-23 SPU Distr'!C25+'2022-23 SPU Distr'!C29+'2022-23 SPU Distr'!C30+'2022-23 SPU Distr'!C62+'2022-23 SPU Distr'!C64</f>
        <v>1445300</v>
      </c>
      <c r="D92" s="237">
        <f>'2022-23 Form Distr'!D19+'2022-23 SPU Distr'!D9+'2022-23 SPU Distr'!D10+'2022-23 SPU Distr'!D14+'2022-23 SPU Distr'!D15+'2022-23 SPU Distr'!D20+'2022-23 SPU Distr'!D21+'2022-23 SPU Distr'!D24+'2022-23 SPU Distr'!D25+'2022-23 SPU Distr'!D29+'2022-23 SPU Distr'!D30+'2022-23 SPU Distr'!D62+'2022-23 SPU Distr'!D64</f>
        <v>690901400</v>
      </c>
      <c r="E92" s="237">
        <f>'2022-23 Form Distr'!E19+'2022-23 SPU Distr'!E9+'2022-23 SPU Distr'!E10+'2022-23 SPU Distr'!E14+'2022-23 SPU Distr'!E15+'2022-23 SPU Distr'!E20+'2022-23 SPU Distr'!E21+'2022-23 SPU Distr'!E24+'2022-23 SPU Distr'!E25+'2022-23 SPU Distr'!E29+'2022-23 SPU Distr'!E30+'2022-23 SPU Distr'!E62+'2022-23 SPU Distr'!E64</f>
        <v>30501300</v>
      </c>
      <c r="F92" s="237">
        <f>'2022-23 Form Distr'!F19+'2022-23 SPU Distr'!F9+'2022-23 SPU Distr'!F10+'2022-23 SPU Distr'!F14+'2022-23 SPU Distr'!F15+'2022-23 SPU Distr'!F20+'2022-23 SPU Distr'!F21+'2022-23 SPU Distr'!F24+'2022-23 SPU Distr'!F25+'2022-23 SPU Distr'!F29+'2022-23 SPU Distr'!F30+'2022-23 SPU Distr'!F62+'2022-23 SPU Distr'!F64</f>
        <v>28396600</v>
      </c>
      <c r="G92" s="237">
        <f>'2022-23 Form Distr'!G19+'2022-23 SPU Distr'!G9+'2022-23 SPU Distr'!G10+'2022-23 SPU Distr'!G14+'2022-23 SPU Distr'!G15+'2022-23 SPU Distr'!G20+'2022-23 SPU Distr'!G21+'2022-23 SPU Distr'!G24+'2022-23 SPU Distr'!G25+'2022-23 SPU Distr'!G29+'2022-23 SPU Distr'!G30+'2022-23 SPU Distr'!G62+'2022-23 SPU Distr'!G64</f>
        <v>6229100</v>
      </c>
      <c r="H92" s="237">
        <f>'2022-23 Form Distr'!H19+'2022-23 SPU Distr'!H9+'2022-23 SPU Distr'!H10+'2022-23 SPU Distr'!H14+'2022-23 SPU Distr'!H15+'2022-23 SPU Distr'!H20+'2022-23 SPU Distr'!H21+'2022-23 SPU Distr'!H24+'2022-23 SPU Distr'!H25+'2022-23 SPU Distr'!H29+'2022-23 SPU Distr'!H30+'2022-23 SPU Distr'!H62+'2022-23 SPU Distr'!H64</f>
        <v>1013800</v>
      </c>
      <c r="I92" s="237">
        <f>'2022-23 Form Distr'!I19+'2022-23 SPU Distr'!I9+'2022-23 SPU Distr'!I10+'2022-23 SPU Distr'!I14+'2022-23 SPU Distr'!I15+'2022-23 SPU Distr'!I20+'2022-23 SPU Distr'!I21+'2022-23 SPU Distr'!I24+'2022-23 SPU Distr'!I25+'2022-23 SPU Distr'!I29+'2022-23 SPU Distr'!I30+'2022-23 SPU Distr'!I62+'2022-23 SPU Distr'!I64</f>
        <v>6868500</v>
      </c>
      <c r="J92" s="237">
        <f>'2022-23 Form Distr'!J19+'2022-23 SPU Distr'!J9+'2022-23 SPU Distr'!J10+'2022-23 SPU Distr'!J14+'2022-23 SPU Distr'!J15+'2022-23 SPU Distr'!J20+'2022-23 SPU Distr'!J21+'2022-23 SPU Distr'!J24+'2022-23 SPU Distr'!J25+'2022-23 SPU Distr'!J29+'2022-23 SPU Distr'!J30+'2022-23 SPU Distr'!J62+'2022-23 SPU Distr'!J64</f>
        <v>75500000</v>
      </c>
      <c r="K92" s="237">
        <f>'2022-23 Form Distr'!K19+'2022-23 SPU Distr'!K9+'2022-23 SPU Distr'!K10+'2022-23 SPU Distr'!K14+'2022-23 SPU Distr'!K15+'2022-23 SPU Distr'!K20+'2022-23 SPU Distr'!K21+'2022-23 SPU Distr'!K24+'2022-23 SPU Distr'!K25+'2022-23 SPU Distr'!K29+'2022-23 SPU Distr'!K30+'2022-23 SPU Distr'!K62+'2022-23 SPU Distr'!K64</f>
        <v>7805400</v>
      </c>
      <c r="L92" s="237">
        <f>'2022-23 Form Distr'!L19+'2022-23 SPU Distr'!L9+'2022-23 SPU Distr'!L10+'2022-23 SPU Distr'!L14+'2022-23 SPU Distr'!L15+'2022-23 SPU Distr'!L20+'2022-23 SPU Distr'!L21+'2022-23 SPU Distr'!L24+'2022-23 SPU Distr'!L25+'2022-23 SPU Distr'!L29+'2022-23 SPU Distr'!L30+'2022-23 SPU Distr'!L62+'2022-23 SPU Distr'!L64</f>
        <v>763910700</v>
      </c>
      <c r="M92" s="237">
        <f>'2022-23 Form Distr'!M19+'2022-23 SPU Distr'!M9+'2022-23 SPU Distr'!M10+'2022-23 SPU Distr'!M14+'2022-23 SPU Distr'!M15+'2022-23 SPU Distr'!M20+'2022-23 SPU Distr'!M21+'2022-23 SPU Distr'!M24+'2022-23 SPU Distr'!M25+'2022-23 SPU Distr'!M29+'2022-23 SPU Distr'!M30+'2022-23 SPU Distr'!M62+'2022-23 SPU Distr'!M64</f>
        <v>83305400</v>
      </c>
      <c r="N92" s="237">
        <f>'2022-23 Form Distr'!N19+'2022-23 SPU Distr'!N9+'2022-23 SPU Distr'!N10+'2022-23 SPU Distr'!N14+'2022-23 SPU Distr'!N15+'2022-23 SPU Distr'!N20+'2022-23 SPU Distr'!N21+'2022-23 SPU Distr'!N24+'2022-23 SPU Distr'!N25+'2022-23 SPU Distr'!N29+'2022-23 SPU Distr'!N30+'2022-23 SPU Distr'!N62+'2022-23 SPU Distr'!N64</f>
        <v>847216100</v>
      </c>
      <c r="O92" s="237">
        <f>'2022-23 Form Distr'!O19+'2022-23 SPU Distr'!O9+'2022-23 SPU Distr'!O10+'2022-23 SPU Distr'!O14+'2022-23 SPU Distr'!O15+'2022-23 SPU Distr'!O20+'2022-23 SPU Distr'!O21+'2022-23 SPU Distr'!O24+'2022-23 SPU Distr'!O25+'2022-23 SPU Distr'!O29+'2022-23 SPU Distr'!O30+'2022-23 SPU Distr'!O62+'2022-23 SPU Distr'!O64</f>
        <v>74454600</v>
      </c>
      <c r="P92" s="11"/>
      <c r="Q92" s="253"/>
      <c r="R92" s="253"/>
    </row>
    <row r="93" spans="1:18" s="252" customFormat="1" ht="15" x14ac:dyDescent="0.3">
      <c r="A93" s="251"/>
      <c r="B93" s="251"/>
      <c r="C93" s="251"/>
      <c r="D93" s="251"/>
      <c r="E93" s="251"/>
      <c r="F93" s="251"/>
      <c r="G93" s="251"/>
      <c r="H93" s="251"/>
      <c r="I93" s="251"/>
      <c r="J93" s="251"/>
      <c r="K93" s="251"/>
      <c r="N93" s="254"/>
      <c r="O93" s="255"/>
      <c r="Q93" s="251"/>
      <c r="R93" s="251"/>
    </row>
    <row r="94" spans="1:18" x14ac:dyDescent="0.35">
      <c r="A94" s="251"/>
      <c r="N94" s="256"/>
      <c r="O94" s="3"/>
    </row>
    <row r="95" spans="1:18" x14ac:dyDescent="0.35">
      <c r="A95" s="251"/>
    </row>
    <row r="96" spans="1:18" x14ac:dyDescent="0.35">
      <c r="A96" s="251"/>
    </row>
    <row r="97" spans="3:3" x14ac:dyDescent="0.35">
      <c r="C97" s="227"/>
    </row>
  </sheetData>
  <mergeCells count="5">
    <mergeCell ref="A1:P1"/>
    <mergeCell ref="C3:D3"/>
    <mergeCell ref="L3:N3"/>
    <mergeCell ref="E3:I3"/>
    <mergeCell ref="J3:K3"/>
  </mergeCells>
  <phoneticPr fontId="20" type="noConversion"/>
  <printOptions horizontalCentered="1"/>
  <pageMargins left="0.25" right="0.25" top="0.25" bottom="0.25" header="0.5" footer="0.5"/>
  <pageSetup paperSize="17" scale="51" orientation="landscape" r:id="rId1"/>
  <headerFooter alignWithMargins="0"/>
  <ignoredErrors>
    <ignoredError sqref="C21 N21:O21 L21 E21:G21 I21:J21"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2022-23 Form Distr</vt:lpstr>
      <vt:lpstr>2022-23 SPU Distr</vt:lpstr>
      <vt:lpstr>'2022-23 Form Distr'!Print_Area</vt:lpstr>
      <vt:lpstr>'2022-23 SPU Distr'!Print_Area</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CB50111</dc:creator>
  <cp:lastModifiedBy>Crystal Collins</cp:lastModifiedBy>
  <cp:lastPrinted>2022-01-31T19:29:56Z</cp:lastPrinted>
  <dcterms:created xsi:type="dcterms:W3CDTF">2011-03-14T18:34:44Z</dcterms:created>
  <dcterms:modified xsi:type="dcterms:W3CDTF">2023-03-29T16:14:39Z</dcterms:modified>
</cp:coreProperties>
</file>