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Fiscal\Fiscal Policy\STAY_OUT\FY2021-22\Reports\Governor's Budget\"/>
    </mc:Choice>
  </mc:AlternateContent>
  <xr:revisionPtr revIDLastSave="0" documentId="13_ncr:1_{C10ACADA-9DE2-48A9-9F0C-442DD99EC3D5}" xr6:coauthVersionLast="45" xr6:coauthVersionMax="45" xr10:uidLastSave="{00000000-0000-0000-0000-000000000000}"/>
  <bookViews>
    <workbookView xWindow="-120" yWindow="-120" windowWidth="20730" windowHeight="11160" xr2:uid="{00000000-000D-0000-FFFF-FFFF00000000}"/>
  </bookViews>
  <sheets>
    <sheet name="2021-22 Form Distr" sheetId="1" r:id="rId1"/>
    <sheet name="2021-22 NF Distr" sheetId="2" r:id="rId2"/>
  </sheets>
  <definedNames>
    <definedName name="A">#REF!</definedName>
    <definedName name="B">#REF!</definedName>
    <definedName name="cbh">#REF!</definedName>
    <definedName name="_xlnm.Print_Area" localSheetId="0">'2021-22 Form Distr'!$A$1:$O$27</definedName>
    <definedName name="_xlnm.Print_Area" localSheetId="1">'2021-22 NF Distr'!$A$1:$O$85</definedName>
    <definedName name="russ">#REF!</definedName>
    <definedName name="SchedA">#REF!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2" l="1"/>
  <c r="J30" i="2"/>
  <c r="G30" i="2"/>
  <c r="G8" i="2"/>
  <c r="G7" i="2"/>
  <c r="I30" i="2"/>
  <c r="G10" i="2"/>
  <c r="G9" i="2"/>
  <c r="G15" i="2"/>
  <c r="G14" i="2"/>
  <c r="G20" i="2"/>
  <c r="G24" i="2"/>
  <c r="G25" i="2"/>
  <c r="G23" i="2"/>
  <c r="G22" i="2"/>
  <c r="G29" i="2"/>
  <c r="J9" i="1"/>
  <c r="G25" i="1"/>
  <c r="G21" i="1"/>
  <c r="G12" i="1"/>
  <c r="G11" i="1"/>
  <c r="G10" i="1"/>
  <c r="G9" i="1"/>
  <c r="G8" i="1"/>
  <c r="G7" i="1"/>
  <c r="G18" i="1" l="1"/>
  <c r="G17" i="1"/>
  <c r="G16" i="1"/>
  <c r="B3" i="2" l="1"/>
  <c r="J62" i="2" l="1"/>
  <c r="L7" i="2"/>
  <c r="L70" i="2" l="1"/>
  <c r="D70" i="2"/>
  <c r="K70" i="2" l="1"/>
  <c r="J37" i="2"/>
  <c r="I37" i="2"/>
  <c r="H37" i="2"/>
  <c r="G37" i="2"/>
  <c r="F37" i="2"/>
  <c r="E37" i="2"/>
  <c r="C37" i="2"/>
  <c r="M70" i="2" l="1"/>
  <c r="N70" i="2"/>
  <c r="L79" i="2"/>
  <c r="D71" i="2"/>
  <c r="D72" i="2"/>
  <c r="D73" i="2"/>
  <c r="C62" i="2"/>
  <c r="L72" i="2" l="1"/>
  <c r="K72" i="2"/>
  <c r="N72" i="2" s="1"/>
  <c r="L48" i="2"/>
  <c r="L71" i="2"/>
  <c r="K71" i="2"/>
  <c r="N71" i="2" s="1"/>
  <c r="L69" i="2"/>
  <c r="L68" i="2"/>
  <c r="L73" i="2"/>
  <c r="L74" i="2"/>
  <c r="L67" i="2"/>
  <c r="L66" i="2"/>
  <c r="L65" i="2"/>
  <c r="L64" i="2"/>
  <c r="M72" i="2" l="1"/>
  <c r="M71" i="2"/>
  <c r="K73" i="2"/>
  <c r="M73" i="2" s="1"/>
  <c r="L23" i="2"/>
  <c r="J21" i="2"/>
  <c r="J26" i="2" s="1"/>
  <c r="I21" i="2"/>
  <c r="I26" i="2" s="1"/>
  <c r="H21" i="2"/>
  <c r="H26" i="2" s="1"/>
  <c r="G21" i="2"/>
  <c r="G26" i="2" s="1"/>
  <c r="F21" i="2"/>
  <c r="F26" i="2" s="1"/>
  <c r="E21" i="2"/>
  <c r="E26" i="2" s="1"/>
  <c r="C21" i="2"/>
  <c r="C26" i="2" s="1"/>
  <c r="L22" i="2"/>
  <c r="L21" i="2" l="1"/>
  <c r="A1" i="2" l="1"/>
  <c r="L47" i="2" l="1"/>
  <c r="C34" i="1" l="1"/>
  <c r="E34" i="1"/>
  <c r="F34" i="1"/>
  <c r="G34" i="1"/>
  <c r="H34" i="1"/>
  <c r="I34" i="1"/>
  <c r="J34" i="1"/>
  <c r="L81" i="2" l="1"/>
  <c r="D81" i="2"/>
  <c r="K81" i="2" l="1"/>
  <c r="N81" i="2" l="1"/>
  <c r="M81" i="2"/>
  <c r="L41" i="2" l="1"/>
  <c r="L40" i="2"/>
  <c r="L39" i="2"/>
  <c r="F32" i="1" l="1"/>
  <c r="C10" i="2" l="1"/>
  <c r="E11" i="2"/>
  <c r="F11" i="2"/>
  <c r="H11" i="2"/>
  <c r="I11" i="2"/>
  <c r="J11" i="2"/>
  <c r="L83" i="2"/>
  <c r="L63" i="2"/>
  <c r="L61" i="2"/>
  <c r="L60" i="2"/>
  <c r="L59" i="2"/>
  <c r="L58" i="2"/>
  <c r="L57" i="2"/>
  <c r="L56" i="2"/>
  <c r="L45" i="2"/>
  <c r="L44" i="2"/>
  <c r="L43" i="2"/>
  <c r="L42" i="2"/>
  <c r="L38" i="2"/>
  <c r="L36" i="2"/>
  <c r="L34" i="2"/>
  <c r="L33" i="2"/>
  <c r="L32" i="2"/>
  <c r="L30" i="2"/>
  <c r="L29" i="2"/>
  <c r="L25" i="2"/>
  <c r="L24" i="2"/>
  <c r="L20" i="2"/>
  <c r="L19" i="2"/>
  <c r="L18" i="2"/>
  <c r="L17" i="2"/>
  <c r="L16" i="2"/>
  <c r="L15" i="2"/>
  <c r="L14" i="2"/>
  <c r="L10" i="2"/>
  <c r="L9" i="2"/>
  <c r="L8" i="2"/>
  <c r="L25" i="1"/>
  <c r="L21" i="1"/>
  <c r="L18" i="1"/>
  <c r="L17" i="1"/>
  <c r="L16" i="1"/>
  <c r="L12" i="1"/>
  <c r="L11" i="1"/>
  <c r="L10" i="1"/>
  <c r="L9" i="1"/>
  <c r="L8" i="1"/>
  <c r="L7" i="1"/>
  <c r="L34" i="1" l="1"/>
  <c r="L26" i="2"/>
  <c r="C11" i="2"/>
  <c r="L11" i="2"/>
  <c r="J75" i="2"/>
  <c r="H62" i="2"/>
  <c r="H75" i="2" s="1"/>
  <c r="I62" i="2"/>
  <c r="I75" i="2" s="1"/>
  <c r="G62" i="2"/>
  <c r="G75" i="2" s="1"/>
  <c r="F62" i="2"/>
  <c r="F75" i="2" s="1"/>
  <c r="E62" i="2"/>
  <c r="E75" i="2" s="1"/>
  <c r="C75" i="2"/>
  <c r="L62" i="2"/>
  <c r="L75" i="2" s="1"/>
  <c r="G11" i="2" l="1"/>
  <c r="N73" i="2" l="1"/>
  <c r="L46" i="2" l="1"/>
  <c r="L37" i="2" s="1"/>
  <c r="C31" i="2"/>
  <c r="C49" i="2" l="1"/>
  <c r="D35" i="2" l="1"/>
  <c r="K35" i="2" s="1"/>
  <c r="H32" i="1" l="1"/>
  <c r="E32" i="1"/>
  <c r="C32" i="1"/>
  <c r="L35" i="2"/>
  <c r="H31" i="2"/>
  <c r="H49" i="2" s="1"/>
  <c r="E31" i="2"/>
  <c r="E49" i="2" s="1"/>
  <c r="F31" i="2"/>
  <c r="F49" i="2" s="1"/>
  <c r="G31" i="2"/>
  <c r="G49" i="2" s="1"/>
  <c r="I31" i="2"/>
  <c r="I49" i="2" s="1"/>
  <c r="J31" i="2"/>
  <c r="J49" i="2" s="1"/>
  <c r="C13" i="1"/>
  <c r="C33" i="1" s="1"/>
  <c r="H13" i="1"/>
  <c r="H33" i="1" s="1"/>
  <c r="E13" i="1"/>
  <c r="E33" i="1" s="1"/>
  <c r="F13" i="1"/>
  <c r="F33" i="1" s="1"/>
  <c r="I13" i="1"/>
  <c r="I33" i="1" s="1"/>
  <c r="J13" i="1"/>
  <c r="J33" i="1" s="1"/>
  <c r="C19" i="1"/>
  <c r="H19" i="1"/>
  <c r="E19" i="1"/>
  <c r="F19" i="1"/>
  <c r="I19" i="1"/>
  <c r="J19" i="1"/>
  <c r="I32" i="1"/>
  <c r="J32" i="1"/>
  <c r="F51" i="2" l="1"/>
  <c r="J23" i="1"/>
  <c r="J27" i="1" s="1"/>
  <c r="J35" i="1" s="1"/>
  <c r="L31" i="2"/>
  <c r="L49" i="2" s="1"/>
  <c r="M35" i="2"/>
  <c r="C51" i="2"/>
  <c r="C53" i="2" s="1"/>
  <c r="C77" i="2" s="1"/>
  <c r="J51" i="2"/>
  <c r="I51" i="2"/>
  <c r="H51" i="2"/>
  <c r="E51" i="2"/>
  <c r="E23" i="1"/>
  <c r="E27" i="1" s="1"/>
  <c r="E35" i="1" s="1"/>
  <c r="H23" i="1"/>
  <c r="H27" i="1" s="1"/>
  <c r="H35" i="1" s="1"/>
  <c r="I23" i="1"/>
  <c r="I27" i="1" s="1"/>
  <c r="I35" i="1" s="1"/>
  <c r="C23" i="1"/>
  <c r="C27" i="1" s="1"/>
  <c r="C35" i="1" s="1"/>
  <c r="L32" i="1"/>
  <c r="L13" i="1"/>
  <c r="L33" i="1" s="1"/>
  <c r="L19" i="1"/>
  <c r="F23" i="1"/>
  <c r="F27" i="1" s="1"/>
  <c r="F35" i="1" s="1"/>
  <c r="G32" i="1"/>
  <c r="G19" i="1"/>
  <c r="G13" i="1"/>
  <c r="G33" i="1" s="1"/>
  <c r="G51" i="2"/>
  <c r="N35" i="2"/>
  <c r="C85" i="2" l="1"/>
  <c r="J53" i="2"/>
  <c r="F53" i="2"/>
  <c r="F77" i="2" s="1"/>
  <c r="F85" i="2" s="1"/>
  <c r="L51" i="2"/>
  <c r="L23" i="1"/>
  <c r="L27" i="1" s="1"/>
  <c r="L35" i="1" s="1"/>
  <c r="I53" i="2"/>
  <c r="I77" i="2" s="1"/>
  <c r="I85" i="2" s="1"/>
  <c r="E53" i="2"/>
  <c r="E77" i="2" s="1"/>
  <c r="E85" i="2" s="1"/>
  <c r="H53" i="2"/>
  <c r="H77" i="2" s="1"/>
  <c r="H85" i="2" s="1"/>
  <c r="G23" i="1"/>
  <c r="G27" i="1" s="1"/>
  <c r="G53" i="2" s="1"/>
  <c r="G77" i="2" s="1"/>
  <c r="G85" i="2" s="1"/>
  <c r="G35" i="1" l="1"/>
  <c r="L53" i="2"/>
  <c r="L77" i="2" s="1"/>
  <c r="L85" i="2" s="1"/>
  <c r="J77" i="2"/>
  <c r="J85" i="2" s="1"/>
  <c r="D69" i="2" l="1"/>
  <c r="D66" i="2"/>
  <c r="D65" i="2"/>
  <c r="D64" i="2"/>
  <c r="D67" i="2"/>
  <c r="D79" i="2"/>
  <c r="D68" i="2"/>
  <c r="D74" i="2"/>
  <c r="K64" i="2" l="1"/>
  <c r="K74" i="2"/>
  <c r="K79" i="2"/>
  <c r="K66" i="2"/>
  <c r="K68" i="2"/>
  <c r="K67" i="2"/>
  <c r="K65" i="2"/>
  <c r="K69" i="2"/>
  <c r="M69" i="2" l="1"/>
  <c r="N69" i="2"/>
  <c r="M67" i="2"/>
  <c r="N67" i="2"/>
  <c r="M66" i="2"/>
  <c r="N66" i="2"/>
  <c r="M74" i="2"/>
  <c r="N74" i="2"/>
  <c r="D63" i="2"/>
  <c r="B62" i="2"/>
  <c r="M65" i="2"/>
  <c r="N65" i="2"/>
  <c r="M68" i="2"/>
  <c r="N68" i="2"/>
  <c r="N79" i="2"/>
  <c r="M79" i="2"/>
  <c r="O79" i="2"/>
  <c r="N64" i="2"/>
  <c r="M64" i="2"/>
  <c r="D62" i="2" l="1"/>
  <c r="K63" i="2"/>
  <c r="M63" i="2" l="1"/>
  <c r="O63" i="2"/>
  <c r="N63" i="2"/>
  <c r="N62" i="2" s="1"/>
  <c r="K62" i="2"/>
  <c r="O62" i="2" s="1"/>
  <c r="D48" i="2"/>
  <c r="K48" i="2" l="1"/>
  <c r="M62" i="2"/>
  <c r="N48" i="2" l="1"/>
  <c r="M48" i="2"/>
  <c r="D47" i="2" l="1"/>
  <c r="K47" i="2" l="1"/>
  <c r="N47" i="2" l="1"/>
  <c r="M47" i="2"/>
  <c r="D41" i="2" l="1"/>
  <c r="D39" i="2"/>
  <c r="D40" i="2"/>
  <c r="D43" i="2"/>
  <c r="D45" i="2"/>
  <c r="D42" i="2"/>
  <c r="D44" i="2"/>
  <c r="K39" i="2" l="1"/>
  <c r="K42" i="2"/>
  <c r="K43" i="2"/>
  <c r="K40" i="2"/>
  <c r="K41" i="2"/>
  <c r="K44" i="2"/>
  <c r="K45" i="2"/>
  <c r="N42" i="2" l="1"/>
  <c r="M42" i="2"/>
  <c r="O42" i="2"/>
  <c r="O40" i="2"/>
  <c r="N40" i="2"/>
  <c r="M40" i="2"/>
  <c r="M44" i="2"/>
  <c r="N44" i="2"/>
  <c r="N41" i="2"/>
  <c r="O41" i="2"/>
  <c r="M41" i="2"/>
  <c r="O43" i="2"/>
  <c r="N43" i="2"/>
  <c r="M43" i="2"/>
  <c r="O39" i="2"/>
  <c r="M39" i="2"/>
  <c r="N39" i="2"/>
  <c r="N45" i="2"/>
  <c r="M45" i="2"/>
  <c r="D46" i="2" l="1"/>
  <c r="D36" i="2"/>
  <c r="K46" i="2" l="1"/>
  <c r="K36" i="2"/>
  <c r="D83" i="2" l="1"/>
  <c r="N46" i="2"/>
  <c r="M46" i="2"/>
  <c r="N36" i="2"/>
  <c r="M36" i="2"/>
  <c r="O36" i="2"/>
  <c r="K83" i="2" l="1"/>
  <c r="O83" i="2" l="1"/>
  <c r="N83" i="2"/>
  <c r="M83" i="2"/>
  <c r="D32" i="2" l="1"/>
  <c r="D61" i="2"/>
  <c r="D59" i="2"/>
  <c r="D34" i="2"/>
  <c r="D60" i="2"/>
  <c r="D58" i="2"/>
  <c r="K60" i="2" l="1"/>
  <c r="K58" i="2"/>
  <c r="K34" i="2"/>
  <c r="K59" i="2"/>
  <c r="K61" i="2"/>
  <c r="K32" i="2"/>
  <c r="N59" i="2" l="1"/>
  <c r="O59" i="2"/>
  <c r="M59" i="2"/>
  <c r="N34" i="2"/>
  <c r="O34" i="2"/>
  <c r="M34" i="2"/>
  <c r="N58" i="2"/>
  <c r="M58" i="2"/>
  <c r="O58" i="2"/>
  <c r="N32" i="2"/>
  <c r="O32" i="2"/>
  <c r="M32" i="2"/>
  <c r="N61" i="2"/>
  <c r="O61" i="2"/>
  <c r="M61" i="2"/>
  <c r="O60" i="2"/>
  <c r="M60" i="2"/>
  <c r="N60" i="2"/>
  <c r="D23" i="2" l="1"/>
  <c r="K23" i="2" l="1"/>
  <c r="B21" i="2"/>
  <c r="D22" i="2"/>
  <c r="K22" i="2" l="1"/>
  <c r="D21" i="2"/>
  <c r="M23" i="2"/>
  <c r="N23" i="2"/>
  <c r="O23" i="2"/>
  <c r="N22" i="2" l="1"/>
  <c r="N21" i="2" s="1"/>
  <c r="K21" i="2"/>
  <c r="O22" i="2"/>
  <c r="M22" i="2"/>
  <c r="D9" i="2" l="1"/>
  <c r="O21" i="2"/>
  <c r="M21" i="2"/>
  <c r="K9" i="2" l="1"/>
  <c r="D10" i="2" l="1"/>
  <c r="M9" i="2"/>
  <c r="O9" i="2"/>
  <c r="N9" i="2"/>
  <c r="K10" i="2" l="1"/>
  <c r="O10" i="2" l="1"/>
  <c r="N10" i="2"/>
  <c r="M10" i="2"/>
  <c r="B37" i="2" l="1"/>
  <c r="D38" i="2"/>
  <c r="K21" i="1" l="1"/>
  <c r="D21" i="1"/>
  <c r="K38" i="2"/>
  <c r="D37" i="2"/>
  <c r="M21" i="1" l="1"/>
  <c r="O21" i="1"/>
  <c r="N21" i="1"/>
  <c r="O38" i="2"/>
  <c r="K37" i="2"/>
  <c r="O37" i="2" s="1"/>
  <c r="N38" i="2"/>
  <c r="N37" i="2" s="1"/>
  <c r="M38" i="2"/>
  <c r="D15" i="2" l="1"/>
  <c r="D24" i="2"/>
  <c r="D19" i="2"/>
  <c r="K9" i="1"/>
  <c r="D9" i="1"/>
  <c r="D25" i="2"/>
  <c r="D17" i="2"/>
  <c r="K10" i="1"/>
  <c r="D10" i="1"/>
  <c r="D57" i="2"/>
  <c r="D17" i="1"/>
  <c r="K17" i="1"/>
  <c r="D16" i="2"/>
  <c r="D29" i="2"/>
  <c r="K25" i="1"/>
  <c r="D25" i="1"/>
  <c r="B34" i="1"/>
  <c r="D20" i="2"/>
  <c r="D30" i="2"/>
  <c r="K8" i="1"/>
  <c r="D8" i="1"/>
  <c r="D8" i="2"/>
  <c r="K7" i="1"/>
  <c r="D7" i="1"/>
  <c r="B13" i="1"/>
  <c r="B33" i="1" s="1"/>
  <c r="M37" i="2"/>
  <c r="K11" i="1"/>
  <c r="D11" i="1"/>
  <c r="D18" i="1"/>
  <c r="K18" i="1"/>
  <c r="K12" i="1"/>
  <c r="D12" i="1"/>
  <c r="D18" i="2"/>
  <c r="D16" i="1"/>
  <c r="B32" i="1"/>
  <c r="B19" i="1"/>
  <c r="B23" i="1" s="1"/>
  <c r="B27" i="1" s="1"/>
  <c r="K16" i="1"/>
  <c r="B35" i="1" l="1"/>
  <c r="D32" i="1"/>
  <c r="D19" i="1"/>
  <c r="K18" i="2"/>
  <c r="O11" i="1"/>
  <c r="M11" i="1"/>
  <c r="N11" i="1"/>
  <c r="B11" i="2"/>
  <c r="D7" i="2"/>
  <c r="K20" i="2"/>
  <c r="O9" i="1"/>
  <c r="M9" i="1"/>
  <c r="N9" i="1"/>
  <c r="K19" i="2"/>
  <c r="O16" i="1"/>
  <c r="N16" i="1"/>
  <c r="K19" i="1"/>
  <c r="M16" i="1"/>
  <c r="K32" i="1"/>
  <c r="K30" i="2"/>
  <c r="D34" i="1"/>
  <c r="K29" i="2"/>
  <c r="M17" i="1"/>
  <c r="N17" i="1"/>
  <c r="O17" i="1"/>
  <c r="B75" i="2"/>
  <c r="D56" i="2"/>
  <c r="K25" i="2"/>
  <c r="N12" i="1"/>
  <c r="M12" i="1"/>
  <c r="O12" i="1"/>
  <c r="O18" i="1"/>
  <c r="M18" i="1"/>
  <c r="N18" i="1"/>
  <c r="D13" i="1"/>
  <c r="N8" i="1"/>
  <c r="O8" i="1"/>
  <c r="M8" i="1"/>
  <c r="N25" i="1"/>
  <c r="N34" i="1" s="1"/>
  <c r="O25" i="1"/>
  <c r="M25" i="1"/>
  <c r="K34" i="1"/>
  <c r="K17" i="2"/>
  <c r="K24" i="2"/>
  <c r="K15" i="2"/>
  <c r="D33" i="2"/>
  <c r="B31" i="2"/>
  <c r="N7" i="1"/>
  <c r="M7" i="1"/>
  <c r="K13" i="1"/>
  <c r="O7" i="1"/>
  <c r="K8" i="2"/>
  <c r="K16" i="2"/>
  <c r="K57" i="2"/>
  <c r="O10" i="1"/>
  <c r="N10" i="1"/>
  <c r="M10" i="1"/>
  <c r="K7" i="2" l="1"/>
  <c r="D11" i="2"/>
  <c r="D23" i="1"/>
  <c r="M13" i="1"/>
  <c r="M34" i="1"/>
  <c r="O29" i="2"/>
  <c r="N29" i="2"/>
  <c r="M29" i="2"/>
  <c r="N57" i="2"/>
  <c r="M57" i="2"/>
  <c r="O57" i="2"/>
  <c r="N16" i="2"/>
  <c r="O16" i="2"/>
  <c r="M16" i="2"/>
  <c r="M8" i="2"/>
  <c r="O8" i="2"/>
  <c r="N8" i="2"/>
  <c r="N13" i="1"/>
  <c r="N33" i="1" s="1"/>
  <c r="B49" i="2"/>
  <c r="O15" i="2"/>
  <c r="N15" i="2"/>
  <c r="M15" i="2"/>
  <c r="M17" i="2"/>
  <c r="O17" i="2"/>
  <c r="N17" i="2"/>
  <c r="N19" i="1"/>
  <c r="N32" i="1"/>
  <c r="O19" i="2"/>
  <c r="N19" i="2"/>
  <c r="M19" i="2"/>
  <c r="O20" i="2"/>
  <c r="M20" i="2"/>
  <c r="N20" i="2"/>
  <c r="K33" i="1"/>
  <c r="O13" i="1"/>
  <c r="K33" i="2"/>
  <c r="D31" i="2"/>
  <c r="M24" i="2"/>
  <c r="O24" i="2"/>
  <c r="N24" i="2"/>
  <c r="D33" i="1"/>
  <c r="D75" i="2"/>
  <c r="K56" i="2"/>
  <c r="K23" i="1"/>
  <c r="O19" i="1"/>
  <c r="D14" i="2"/>
  <c r="B26" i="2"/>
  <c r="M25" i="2"/>
  <c r="O25" i="2"/>
  <c r="N25" i="2"/>
  <c r="N30" i="2"/>
  <c r="O30" i="2"/>
  <c r="M30" i="2"/>
  <c r="M19" i="1"/>
  <c r="M32" i="1"/>
  <c r="N18" i="2"/>
  <c r="O18" i="2"/>
  <c r="M18" i="2"/>
  <c r="N23" i="1" l="1"/>
  <c r="N27" i="1" s="1"/>
  <c r="D49" i="2"/>
  <c r="M33" i="1"/>
  <c r="D27" i="1"/>
  <c r="K14" i="2"/>
  <c r="D26" i="2"/>
  <c r="O23" i="1"/>
  <c r="K27" i="1"/>
  <c r="K75" i="2"/>
  <c r="O75" i="2" s="1"/>
  <c r="O56" i="2"/>
  <c r="N56" i="2"/>
  <c r="N75" i="2" s="1"/>
  <c r="M56" i="2"/>
  <c r="N33" i="2"/>
  <c r="N31" i="2" s="1"/>
  <c r="N49" i="2" s="1"/>
  <c r="O33" i="2"/>
  <c r="M33" i="2"/>
  <c r="K31" i="2"/>
  <c r="B51" i="2"/>
  <c r="M7" i="2"/>
  <c r="N7" i="2"/>
  <c r="N11" i="2" s="1"/>
  <c r="K11" i="2"/>
  <c r="O7" i="2"/>
  <c r="M23" i="1"/>
  <c r="D51" i="2" l="1"/>
  <c r="N35" i="1"/>
  <c r="O31" i="2"/>
  <c r="K49" i="2"/>
  <c r="O49" i="2" s="1"/>
  <c r="D53" i="2"/>
  <c r="O11" i="2"/>
  <c r="M31" i="2"/>
  <c r="M75" i="2"/>
  <c r="O27" i="1"/>
  <c r="K35" i="1"/>
  <c r="D35" i="1"/>
  <c r="M27" i="1"/>
  <c r="M11" i="2"/>
  <c r="B53" i="2"/>
  <c r="N14" i="2"/>
  <c r="N26" i="2" s="1"/>
  <c r="N51" i="2" s="1"/>
  <c r="N53" i="2" s="1"/>
  <c r="N77" i="2" s="1"/>
  <c r="N85" i="2" s="1"/>
  <c r="O14" i="2"/>
  <c r="M14" i="2"/>
  <c r="K26" i="2"/>
  <c r="O26" i="2" s="1"/>
  <c r="M49" i="2" l="1"/>
  <c r="D77" i="2"/>
  <c r="K51" i="2"/>
  <c r="M26" i="2"/>
  <c r="B77" i="2"/>
  <c r="M35" i="1"/>
  <c r="D85" i="2" l="1"/>
  <c r="M51" i="2"/>
  <c r="O51" i="2"/>
  <c r="K53" i="2"/>
  <c r="B85" i="2"/>
  <c r="K77" i="2" l="1"/>
  <c r="O53" i="2"/>
  <c r="M53" i="2"/>
  <c r="M77" i="2" l="1"/>
  <c r="K85" i="2"/>
  <c r="O85" i="2" s="1"/>
  <c r="O77" i="2"/>
  <c r="M85" i="2" l="1"/>
  <c r="M8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Boelscher</author>
    <author>Crystal Collins</author>
  </authors>
  <commentList>
    <comment ref="E3" authorId="0" shapeId="0" xr:uid="{00000000-0006-0000-0000-000001000000}">
      <text>
        <r>
          <rPr>
            <b/>
            <sz val="9"/>
            <color indexed="81"/>
            <rFont val="Tahoma"/>
            <family val="2"/>
          </rPr>
          <t>Scott Boelscher:</t>
        </r>
        <r>
          <rPr>
            <sz val="9"/>
            <color indexed="81"/>
            <rFont val="Tahoma"/>
            <family val="2"/>
          </rPr>
          <t xml:space="preserve">
Cost Increases are from the big Governor's budget book</t>
        </r>
      </text>
    </comment>
    <comment ref="C4" authorId="1" shapeId="0" xr:uid="{00000000-0006-0000-0000-000002000000}">
      <text>
        <r>
          <rPr>
            <b/>
            <sz val="9"/>
            <color indexed="81"/>
            <rFont val="Tahoma"/>
            <family val="2"/>
          </rPr>
          <t>Crystal Collins:</t>
        </r>
        <r>
          <rPr>
            <sz val="9"/>
            <color indexed="81"/>
            <rFont val="Tahoma"/>
            <family val="2"/>
          </rPr>
          <t xml:space="preserve">
base revisions from Adjustment Detail doc sent to us by Doree Hicks. 
Corresponds to Column C from THEC Recs.</t>
        </r>
      </text>
    </comment>
    <comment ref="F4" authorId="1" shapeId="0" xr:uid="{ACCCE69E-69BE-479B-8596-F6C10C8E8AB2}">
      <text>
        <r>
          <rPr>
            <b/>
            <sz val="9"/>
            <color indexed="81"/>
            <rFont val="Tahoma"/>
            <family val="2"/>
          </rPr>
          <t>Crystal Collins:</t>
        </r>
        <r>
          <rPr>
            <sz val="9"/>
            <color indexed="81"/>
            <rFont val="Tahoma"/>
            <family val="2"/>
          </rPr>
          <t xml:space="preserve">
To provide recurring pool funding to annualize the 2.0 percent January 1, 2021 salary policy and fully fund a 2.0 percent July 1, 2021 salary policy.</t>
        </r>
      </text>
    </comment>
    <comment ref="G4" authorId="1" shapeId="0" xr:uid="{B8FC416C-FFEC-49A3-A591-5AA6E40A77DE}">
      <text>
        <r>
          <rPr>
            <b/>
            <sz val="9"/>
            <color indexed="81"/>
            <rFont val="Tahoma"/>
            <family val="2"/>
          </rPr>
          <t>Crystal Collins:</t>
        </r>
        <r>
          <rPr>
            <sz val="9"/>
            <color indexed="81"/>
            <rFont val="Tahoma"/>
            <family val="2"/>
          </rPr>
          <t xml:space="preserve">
To provide recurring funding to annualize the state share of a 2.8 percent group health insurance premium increase for January 1, 2021 and to provide reucrring funding for the state share of a 3.5 percent group health insurance premium increase for January 1, 2022. This is funded for six months in the Recommended Budget.</t>
        </r>
      </text>
    </comment>
    <comment ref="B5" authorId="1" shapeId="0" xr:uid="{00000000-0006-0000-0000-000003000000}">
      <text>
        <r>
          <rPr>
            <b/>
            <sz val="9"/>
            <color indexed="81"/>
            <rFont val="Tahoma"/>
            <family val="2"/>
          </rPr>
          <t>Crystal Collins:</t>
        </r>
        <r>
          <rPr>
            <sz val="9"/>
            <color indexed="81"/>
            <rFont val="Tahoma"/>
            <family val="2"/>
          </rPr>
          <t xml:space="preserve">
from final Work Program</t>
        </r>
      </text>
    </comment>
    <comment ref="D5" authorId="0" shapeId="0" xr:uid="{00000000-0006-0000-0000-000004000000}">
      <text>
        <r>
          <rPr>
            <b/>
            <sz val="9"/>
            <color indexed="81"/>
            <rFont val="Tahoma"/>
            <family val="2"/>
          </rPr>
          <t>Scott Boelscher:</t>
        </r>
        <r>
          <rPr>
            <sz val="9"/>
            <color indexed="81"/>
            <rFont val="Tahoma"/>
            <family val="2"/>
          </rPr>
          <t xml:space="preserve">
should match base from Gov's budget</t>
        </r>
      </text>
    </comment>
    <comment ref="J9" authorId="1" shapeId="0" xr:uid="{19240858-E356-4431-BE14-991FE8995304}">
      <text>
        <r>
          <rPr>
            <b/>
            <sz val="9"/>
            <color indexed="81"/>
            <rFont val="Tahoma"/>
            <family val="2"/>
          </rPr>
          <t>Crystal Collins:</t>
        </r>
        <r>
          <rPr>
            <sz val="9"/>
            <color indexed="81"/>
            <rFont val="Tahoma"/>
            <family val="2"/>
          </rPr>
          <t xml:space="preserve">
To provide ($2,587,600) non-recurring funding for data science initiatives. Initiatives will include graduate assistnatships, space renovation and programs targeting K12 students. (B-95)
To provide ($1,200,000) non-recurring funding for financial aid for students in the early acceptance program administered by MTSU and Meharry Medical College. (B-99)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Scott Boelscher</author>
    <author>Crystal Collins</author>
  </authors>
  <commentList>
    <comment ref="E3" authorId="0" shapeId="0" xr:uid="{00000000-0006-0000-0100-000001000000}">
      <text>
        <r>
          <rPr>
            <b/>
            <sz val="9"/>
            <color indexed="81"/>
            <rFont val="Tahoma"/>
            <family val="2"/>
          </rPr>
          <t>Scott Boelscher:</t>
        </r>
        <r>
          <rPr>
            <sz val="9"/>
            <color indexed="81"/>
            <rFont val="Tahoma"/>
            <family val="2"/>
          </rPr>
          <t xml:space="preserve">
cost increases are from the printed govs budget</t>
        </r>
      </text>
    </comment>
    <comment ref="F4" authorId="1" shapeId="0" xr:uid="{E7136D5D-68D1-4911-AABE-E11EF60FDDE5}">
      <text>
        <r>
          <rPr>
            <b/>
            <sz val="9"/>
            <color indexed="81"/>
            <rFont val="Tahoma"/>
            <family val="2"/>
          </rPr>
          <t>Crystal Collins:</t>
        </r>
        <r>
          <rPr>
            <sz val="9"/>
            <color indexed="81"/>
            <rFont val="Tahoma"/>
            <family val="2"/>
          </rPr>
          <t xml:space="preserve">
To provide recurring pool funding to annualize the 2.0 percent January 1, 2021 salary policy and fully fund a 2.0 percent July 1, 2021 salary policy.</t>
        </r>
      </text>
    </comment>
    <comment ref="G4" authorId="1" shapeId="0" xr:uid="{57183100-1822-417F-9153-5E1B1FBA66F0}">
      <text>
        <r>
          <rPr>
            <b/>
            <sz val="9"/>
            <color indexed="81"/>
            <rFont val="Tahoma"/>
            <family val="2"/>
          </rPr>
          <t>Crystal Collins:</t>
        </r>
        <r>
          <rPr>
            <sz val="9"/>
            <color indexed="81"/>
            <rFont val="Tahoma"/>
            <family val="2"/>
          </rPr>
          <t xml:space="preserve">
To provide recurring funding to annualize the state share of a 2.8 percent group health insurance premium increase for January 1, 2021 and to provide reucrring funding for the state share of a 3.5 percent group health insurance premium increase for January 1, 2022. This is funded for six months in the Recommended Budget.</t>
        </r>
      </text>
    </comment>
    <comment ref="D5" authorId="0" shapeId="0" xr:uid="{00000000-0006-0000-0100-000002000000}">
      <text>
        <r>
          <rPr>
            <b/>
            <sz val="9"/>
            <color indexed="81"/>
            <rFont val="Tahoma"/>
            <family val="2"/>
          </rPr>
          <t>Scott Boelscher:</t>
        </r>
        <r>
          <rPr>
            <sz val="9"/>
            <color indexed="81"/>
            <rFont val="Tahoma"/>
            <family val="2"/>
          </rPr>
          <t xml:space="preserve">
Matches base from Gov budget</t>
        </r>
      </text>
    </comment>
    <comment ref="A10" authorId="1" shapeId="0" xr:uid="{00000000-0006-0000-0100-000004000000}">
      <text>
        <r>
          <rPr>
            <b/>
            <sz val="9"/>
            <color indexed="81"/>
            <rFont val="Tahoma"/>
            <family val="2"/>
          </rPr>
          <t>Crystal Collins:</t>
        </r>
        <r>
          <rPr>
            <sz val="9"/>
            <color indexed="81"/>
            <rFont val="Tahoma"/>
            <family val="2"/>
          </rPr>
          <t xml:space="preserve">
Includes funding for UT College of Medicine, UT Family Practice and other specialized medical units in Memphis.</t>
        </r>
      </text>
    </comment>
    <comment ref="I29" authorId="1" shapeId="0" xr:uid="{1E773C43-82A3-47E1-A81F-2A37E32AEA11}">
      <text>
        <r>
          <rPr>
            <b/>
            <sz val="9"/>
            <color indexed="81"/>
            <rFont val="Tahoma"/>
            <family val="2"/>
          </rPr>
          <t>Crystal Collins:</t>
        </r>
        <r>
          <rPr>
            <sz val="9"/>
            <color indexed="81"/>
            <rFont val="Tahoma"/>
            <family val="2"/>
          </rPr>
          <t xml:space="preserve">
To provide funding for the acquisition of Martin Methodist College. Of this total cost, $5,100,000 is recurring and $1,000,000 is non-recurring. (B-92)</t>
        </r>
      </text>
    </comment>
    <comment ref="J29" authorId="1" shapeId="0" xr:uid="{44BEBB78-E669-4BF7-AB02-84DF41B7E3FA}">
      <text>
        <r>
          <rPr>
            <b/>
            <sz val="9"/>
            <color indexed="81"/>
            <rFont val="Tahoma"/>
            <family val="2"/>
          </rPr>
          <t>Crystal Collins:</t>
        </r>
        <r>
          <rPr>
            <sz val="9"/>
            <color indexed="81"/>
            <rFont val="Tahoma"/>
            <family val="2"/>
          </rPr>
          <t xml:space="preserve">
To provide funding for the acquisition of Martin Methodist College. Of this total cost, $5,100,000 is recurring and $1,000,000 is non-recurring. (B-92)</t>
        </r>
      </text>
    </comment>
    <comment ref="I30" authorId="1" shapeId="0" xr:uid="{A65EE047-6AF7-4BF8-AB9A-5589F2167AF1}">
      <text>
        <r>
          <rPr>
            <b/>
            <sz val="9"/>
            <color indexed="81"/>
            <rFont val="Tahoma"/>
            <family val="2"/>
          </rPr>
          <t>Crystal Collins:</t>
        </r>
        <r>
          <rPr>
            <sz val="9"/>
            <color indexed="81"/>
            <rFont val="Tahoma"/>
            <family val="2"/>
          </rPr>
          <t xml:space="preserve">
$400K to provide funding for competency-based education capacity. This funding will provide resources to convert courses to a competency-based education model at community colleges with a goal of increasing rates of student completion and success. (B-95)
$222K to provide funding for personeel and equipment that will be utilized inthe implementation of the Correctional Education Investment Initiative. Recurring funding will be used for TCAT staffing. (B-96)</t>
        </r>
      </text>
    </comment>
    <comment ref="J30" authorId="1" shapeId="0" xr:uid="{1FC87D7C-81A3-4DA2-AA5A-0D900CF9FA33}">
      <text>
        <r>
          <rPr>
            <b/>
            <sz val="9"/>
            <color indexed="81"/>
            <rFont val="Tahoma"/>
            <family val="2"/>
          </rPr>
          <t>Crystal Collins:</t>
        </r>
        <r>
          <rPr>
            <sz val="9"/>
            <color indexed="81"/>
            <rFont val="Tahoma"/>
            <family val="2"/>
          </rPr>
          <t xml:space="preserve">
$350K to provide funding for competency-based education capacity. This funding will provide resources to convert courses to a competency-based education model at community colleges with a goal of increasing rates of student completion and success.  (B-95)
$650K to provide funding for personeel and equipment that will be utilized inthe implementation of the Correctional Education Investment Initiative. Non-recurring funding will be used for TCAT equipment.  (B-96)
$3.63M to provide non-recurring funding for equipment for a new building at the TCAT at Morristown. (B-99)</t>
        </r>
      </text>
    </comment>
    <comment ref="I32" authorId="1" shapeId="0" xr:uid="{6B8A4B69-EC9E-4B94-BFFC-9BD83C1AF559}">
      <text>
        <r>
          <rPr>
            <b/>
            <sz val="9"/>
            <color indexed="81"/>
            <rFont val="Tahoma"/>
            <family val="2"/>
          </rPr>
          <t>Crystal Collins:</t>
        </r>
        <r>
          <rPr>
            <sz val="9"/>
            <color indexed="81"/>
            <rFont val="Tahoma"/>
            <family val="2"/>
          </rPr>
          <t xml:space="preserve">
To provide recurring funding for students of independent colleges and universities. (B-91)</t>
        </r>
      </text>
    </comment>
    <comment ref="I36" authorId="1" shapeId="0" xr:uid="{6731B3C0-2549-4F78-BE29-70C2FB692135}">
      <text>
        <r>
          <rPr>
            <b/>
            <sz val="9"/>
            <color indexed="81"/>
            <rFont val="Tahoma"/>
            <family val="2"/>
          </rPr>
          <t>Crystal Collins:</t>
        </r>
        <r>
          <rPr>
            <sz val="9"/>
            <color indexed="81"/>
            <rFont val="Tahoma"/>
            <family val="2"/>
          </rPr>
          <t xml:space="preserve">
To provide recurring funding for the Southern College of Optometry.</t>
        </r>
      </text>
    </comment>
    <comment ref="D39" authorId="1" shapeId="0" xr:uid="{00000000-0006-0000-0100-00000A000000}">
      <text>
        <r>
          <rPr>
            <b/>
            <sz val="9"/>
            <color indexed="81"/>
            <rFont val="Tahoma"/>
            <family val="2"/>
          </rPr>
          <t>Crystal Collins:</t>
        </r>
        <r>
          <rPr>
            <sz val="9"/>
            <color indexed="81"/>
            <rFont val="Tahoma"/>
            <family val="2"/>
          </rPr>
          <t xml:space="preserve">
Recurring funding for one full-time position related to college completion initiatives for minority students at public and private institutions.
Section 57, Item 1-17</t>
        </r>
      </text>
    </comment>
    <comment ref="D40" authorId="1" shapeId="0" xr:uid="{00000000-0006-0000-0100-00000B000000}">
      <text>
        <r>
          <rPr>
            <b/>
            <sz val="9"/>
            <color indexed="81"/>
            <rFont val="Tahoma"/>
            <family val="2"/>
          </rPr>
          <t>Crystal Collins:</t>
        </r>
        <r>
          <rPr>
            <sz val="9"/>
            <color indexed="81"/>
            <rFont val="Tahoma"/>
            <family val="2"/>
          </rPr>
          <t xml:space="preserve">
To provide recurring funds for a position to administer the Tennessee Reconnect program, which aims to help adults enter higher education so that they may gain new skills, advance in the workplace, and earn a degree or credential.</t>
        </r>
      </text>
    </comment>
    <comment ref="D41" authorId="1" shapeId="0" xr:uid="{00000000-0006-0000-0100-00000C000000}">
      <text>
        <r>
          <rPr>
            <b/>
            <sz val="9"/>
            <color indexed="81"/>
            <rFont val="Tahoma"/>
            <family val="2"/>
          </rPr>
          <t>Crystal Collins:</t>
        </r>
        <r>
          <rPr>
            <sz val="9"/>
            <color indexed="81"/>
            <rFont val="Tahoma"/>
            <family val="2"/>
          </rPr>
          <t xml:space="preserve">
To provide recurring funds for a position that will be responsible for coordinating the newly created capital project structure under the FOCUS Act.</t>
        </r>
      </text>
    </comment>
    <comment ref="D42" authorId="1" shapeId="0" xr:uid="{00000000-0006-0000-0100-00000D000000}">
      <text>
        <r>
          <rPr>
            <b/>
            <sz val="9"/>
            <color indexed="81"/>
            <rFont val="Tahoma"/>
            <family val="2"/>
          </rPr>
          <t>Crystal Collins:</t>
        </r>
        <r>
          <rPr>
            <sz val="9"/>
            <color indexed="81"/>
            <rFont val="Tahoma"/>
            <family val="2"/>
          </rPr>
          <t xml:space="preserve">
To provide funds for a position that will provide increased capacity to manage the daily operations of Drive to 55 and Tennessee Promise Initiatives.</t>
        </r>
      </text>
    </comment>
    <comment ref="D44" authorId="1" shapeId="0" xr:uid="{00000000-0006-0000-0100-00000E000000}">
      <text>
        <r>
          <rPr>
            <b/>
            <sz val="9"/>
            <color indexed="81"/>
            <rFont val="Tahoma"/>
            <family val="2"/>
          </rPr>
          <t>Crystal Collins:</t>
        </r>
        <r>
          <rPr>
            <sz val="9"/>
            <color indexed="81"/>
            <rFont val="Tahoma"/>
            <family val="2"/>
          </rPr>
          <t xml:space="preserve">
To provide funding for one-on-one assistance for students during the college admissions and financial aid application processes and throughout the transition from high school to higher education. Funding for 3 positions.</t>
        </r>
      </text>
    </comment>
    <comment ref="D45" authorId="1" shapeId="0" xr:uid="{00000000-0006-0000-0100-00000F000000}">
      <text>
        <r>
          <rPr>
            <b/>
            <sz val="9"/>
            <color indexed="81"/>
            <rFont val="Tahoma"/>
            <family val="2"/>
          </rPr>
          <t>Crystal Collins:</t>
        </r>
        <r>
          <rPr>
            <sz val="9"/>
            <color indexed="81"/>
            <rFont val="Tahoma"/>
            <family val="2"/>
          </rPr>
          <t xml:space="preserve">
To provide funding for positions that will provide administrative/fiscal oversight and leadership for the Adult Learner Program. The Adult Learner Program provides grants to institutions to locate and recruit adults with some college education but no degree to finish their degree.</t>
        </r>
      </text>
    </comment>
    <comment ref="D46" authorId="1" shapeId="0" xr:uid="{00000000-0006-0000-0100-000010000000}">
      <text>
        <r>
          <rPr>
            <b/>
            <sz val="9"/>
            <color indexed="81"/>
            <rFont val="Tahoma"/>
            <family val="2"/>
          </rPr>
          <t>Crystal Collins:</t>
        </r>
        <r>
          <rPr>
            <sz val="9"/>
            <color indexed="81"/>
            <rFont val="Tahoma"/>
            <family val="2"/>
          </rPr>
          <t xml:space="preserve">
To provide funding for a position that will provide coordination, adminstrative/fiscal oversight, and leadership for LEAPm which aims to eliminate skills gaps across the state in a proactive, data-driven, and coordinated manner by encouraging collaboration across education and industry.</t>
        </r>
      </text>
    </comment>
    <comment ref="D47" authorId="1" shapeId="0" xr:uid="{00000000-0006-0000-0100-000011000000}">
      <text>
        <r>
          <rPr>
            <b/>
            <sz val="9"/>
            <color indexed="81"/>
            <rFont val="Tahoma"/>
            <family val="2"/>
          </rPr>
          <t>Crystal Collins:</t>
        </r>
        <r>
          <rPr>
            <sz val="9"/>
            <color indexed="81"/>
            <rFont val="Tahoma"/>
            <family val="2"/>
          </rPr>
          <t xml:space="preserve">
To provide recurring funding for a position to administer fiscal affairs for the Tennessee Reconnect program.</t>
        </r>
      </text>
    </comment>
    <comment ref="D48" authorId="1" shapeId="0" xr:uid="{00000000-0006-0000-0100-000012000000}">
      <text>
        <r>
          <rPr>
            <b/>
            <sz val="9"/>
            <color indexed="81"/>
            <rFont val="Tahoma"/>
            <family val="2"/>
          </rPr>
          <t>Crystal Collins:</t>
        </r>
        <r>
          <rPr>
            <sz val="9"/>
            <color indexed="81"/>
            <rFont val="Tahoma"/>
            <family val="2"/>
          </rPr>
          <t xml:space="preserve">
To provide funding for personnel and equipment that will be utilized in the implementation of the Correctional Education Investment initiative. Recurring funding in the amount of $426,000 will be used for personnel. Non-recurring funding in the amount of $975,000 will be used for equipment.</t>
        </r>
      </text>
    </comment>
    <comment ref="B63" authorId="1" shapeId="0" xr:uid="{00000000-0006-0000-0100-000013000000}">
      <text>
        <r>
          <rPr>
            <b/>
            <sz val="9"/>
            <color indexed="81"/>
            <rFont val="Tahoma"/>
            <family val="2"/>
          </rPr>
          <t>Crystal Collins:</t>
        </r>
        <r>
          <rPr>
            <sz val="9"/>
            <color indexed="81"/>
            <rFont val="Tahoma"/>
            <family val="2"/>
          </rPr>
          <t xml:space="preserve">
Includes $1,000,000 for TN Reconnect Advisor Program Expansion through a reorg in 2015-16.</t>
        </r>
      </text>
    </comment>
    <comment ref="C63" authorId="1" shapeId="0" xr:uid="{28C556E5-6E2C-4BEE-91B7-114C837551FE}">
      <text>
        <r>
          <rPr>
            <b/>
            <sz val="9"/>
            <color indexed="81"/>
            <rFont val="Tahoma"/>
            <family val="2"/>
          </rPr>
          <t>Crystal Collins:</t>
        </r>
        <r>
          <rPr>
            <sz val="9"/>
            <color indexed="81"/>
            <rFont val="Tahoma"/>
            <family val="2"/>
          </rPr>
          <t xml:space="preserve">
$20,000 - Adult Learner Program
$132,800 - Tuition Discount and Fee Waiver</t>
        </r>
      </text>
    </comment>
    <comment ref="I70" authorId="1" shapeId="0" xr:uid="{644F6101-A90C-46CF-9B89-94C6B7CE1E89}">
      <text>
        <r>
          <rPr>
            <b/>
            <sz val="9"/>
            <color indexed="81"/>
            <rFont val="Tahoma"/>
            <family val="2"/>
          </rPr>
          <t>Crystal Collins:</t>
        </r>
        <r>
          <rPr>
            <sz val="9"/>
            <color indexed="81"/>
            <rFont val="Tahoma"/>
            <family val="2"/>
          </rPr>
          <t xml:space="preserve">
To provide recurring funding for HBCU Summer Bridge Programs that provide at-risk incoming students with targeted, wrap-around resources to increase their success towards graduation.</t>
        </r>
      </text>
    </comment>
    <comment ref="J71" authorId="1" shapeId="0" xr:uid="{7E801E17-A8F9-4EA6-BBB4-82FEAE720750}">
      <text>
        <r>
          <rPr>
            <b/>
            <sz val="9"/>
            <color indexed="81"/>
            <rFont val="Tahoma"/>
            <family val="2"/>
          </rPr>
          <t>Crystal Collins:</t>
        </r>
        <r>
          <rPr>
            <sz val="9"/>
            <color indexed="81"/>
            <rFont val="Tahoma"/>
            <family val="2"/>
          </rPr>
          <t xml:space="preserve">
$10M to provide non-recurring funding for ten new vocational educational sites. The new sites help meet local workforce needs and deliver a meaningful work-based learning experience in vocational education. (B-90)
$1.5M to provided non-recurring funding to the state's GIVE award recipients. These awards served 28 projects that were paused due to the COVID-19 pandemic. These micro-grants will provide additional financial support to these sites to refocus their missions. (B-90)
</t>
        </r>
      </text>
    </comment>
    <comment ref="J72" authorId="1" shapeId="0" xr:uid="{48C26AE5-FBCC-49AA-99C0-E806B576268A}">
      <text>
        <r>
          <rPr>
            <b/>
            <sz val="9"/>
            <color indexed="81"/>
            <rFont val="Tahoma"/>
            <family val="2"/>
          </rPr>
          <t>Crystal Collins:</t>
        </r>
        <r>
          <rPr>
            <sz val="9"/>
            <color indexed="81"/>
            <rFont val="Tahoma"/>
            <family val="2"/>
          </rPr>
          <t xml:space="preserve">
$1.5M to provide non-recurring funding to support students in rural communities who are pusuing dual-enrollment programs through TCATs. This program will help bring equipment and instruction into high schools and give students an opportunity to engage in career training earlier in their career. (B-90)</t>
        </r>
      </text>
    </comment>
    <comment ref="J74" authorId="1" shapeId="0" xr:uid="{00000000-0006-0000-0100-000017000000}">
      <text>
        <r>
          <rPr>
            <b/>
            <sz val="9"/>
            <color indexed="81"/>
            <rFont val="Tahoma"/>
            <family val="2"/>
          </rPr>
          <t>Crystal Collins:</t>
        </r>
        <r>
          <rPr>
            <sz val="9"/>
            <color indexed="81"/>
            <rFont val="Tahoma"/>
            <family val="2"/>
          </rPr>
          <t xml:space="preserve">
To provide non-recurring funding for grants focused on improving the success of student veterans enrolled in Tennessee colleges and universities by enhancing training for faculty and staff who work with veterans.</t>
        </r>
      </text>
    </comment>
    <comment ref="E79" authorId="1" shapeId="0" xr:uid="{00000000-0006-0000-0100-000018000000}">
      <text>
        <r>
          <rPr>
            <b/>
            <sz val="9"/>
            <color indexed="81"/>
            <rFont val="Tahoma"/>
            <family val="2"/>
          </rPr>
          <t>Crystal Collins:</t>
        </r>
        <r>
          <rPr>
            <sz val="9"/>
            <color indexed="81"/>
            <rFont val="Tahoma"/>
            <family val="2"/>
          </rPr>
          <t xml:space="preserve">
To provide recurring funding for capital maintnenace projects at UT, TBR and LGIs. (B-91)</t>
        </r>
      </text>
    </comment>
    <comment ref="B85" authorId="1" shapeId="0" xr:uid="{00000000-0006-0000-0100-000019000000}">
      <text>
        <r>
          <rPr>
            <b/>
            <sz val="9"/>
            <color indexed="81"/>
            <rFont val="Tahoma"/>
            <family val="2"/>
          </rPr>
          <t>Crystal Collins:</t>
        </r>
        <r>
          <rPr>
            <sz val="9"/>
            <color indexed="81"/>
            <rFont val="Tahoma"/>
            <family val="2"/>
          </rPr>
          <t xml:space="preserve">
Matches FY21 Work Program Total.</t>
        </r>
      </text>
    </comment>
    <comment ref="K85" authorId="1" shapeId="0" xr:uid="{00000000-0006-0000-0100-00001A000000}">
      <text>
        <r>
          <rPr>
            <b/>
            <sz val="9"/>
            <color indexed="81"/>
            <rFont val="Tahoma"/>
            <family val="2"/>
          </rPr>
          <t>Crystal Collins:</t>
        </r>
        <r>
          <rPr>
            <sz val="9"/>
            <color indexed="81"/>
            <rFont val="Tahoma"/>
            <family val="2"/>
          </rPr>
          <t xml:space="preserve">
Matches Total Recurring from F&amp;A document.</t>
        </r>
      </text>
    </comment>
    <comment ref="M85" authorId="1" shapeId="0" xr:uid="{00000000-0006-0000-0100-00001B000000}">
      <text>
        <r>
          <rPr>
            <b/>
            <sz val="9"/>
            <color indexed="81"/>
            <rFont val="Tahoma"/>
            <family val="2"/>
          </rPr>
          <t>Crystal Collins:</t>
        </r>
        <r>
          <rPr>
            <sz val="9"/>
            <color indexed="81"/>
            <rFont val="Tahoma"/>
            <family val="2"/>
          </rPr>
          <t xml:space="preserve">
Matches total in the State Appropriation in FY19-20 Recommended Governor's budget document.</t>
        </r>
      </text>
    </comment>
  </commentList>
</comments>
</file>

<file path=xl/sharedStrings.xml><?xml version="1.0" encoding="utf-8"?>
<sst xmlns="http://schemas.openxmlformats.org/spreadsheetml/2006/main" count="179" uniqueCount="116">
  <si>
    <t>Academic Formula Units</t>
  </si>
  <si>
    <t>Austin Peay</t>
  </si>
  <si>
    <t>East Tennessee</t>
  </si>
  <si>
    <t>Middle Tennessee</t>
  </si>
  <si>
    <t>Tennessee State</t>
  </si>
  <si>
    <t>Tennessee Tech</t>
  </si>
  <si>
    <t xml:space="preserve">Subtotal </t>
  </si>
  <si>
    <t>Subtotal</t>
  </si>
  <si>
    <t>UT Universities</t>
  </si>
  <si>
    <t>UT Chattanooga</t>
  </si>
  <si>
    <t>UT Knoxville</t>
  </si>
  <si>
    <t>UT Martin</t>
  </si>
  <si>
    <t>Total Colleges and Universities</t>
  </si>
  <si>
    <t>Total Academic Formula Units</t>
  </si>
  <si>
    <t>Non-Recurring</t>
  </si>
  <si>
    <t>Recurring</t>
  </si>
  <si>
    <t>Percent Change</t>
  </si>
  <si>
    <t>Specialized Units</t>
  </si>
  <si>
    <t>Medical Education</t>
  </si>
  <si>
    <t>ETSU College of Medicine</t>
  </si>
  <si>
    <t>ETSU Family Practice</t>
  </si>
  <si>
    <t>Research and Public Service</t>
  </si>
  <si>
    <t>TSU McMinnville Center</t>
  </si>
  <si>
    <t>TSU Cooperative Extension</t>
  </si>
  <si>
    <t>UT Space Institute</t>
  </si>
  <si>
    <t>UT Institute for Public Service</t>
  </si>
  <si>
    <t>Other Specialized Units</t>
  </si>
  <si>
    <t>UT University-Wide Administration</t>
  </si>
  <si>
    <t>TN Board of Regents Administration</t>
  </si>
  <si>
    <t>TN Student Assistance Corporation</t>
  </si>
  <si>
    <t>Tennessee Students Assistance Corporation</t>
  </si>
  <si>
    <t>TN Higher Education Commission</t>
  </si>
  <si>
    <t>Contract Education</t>
  </si>
  <si>
    <t>Total Specialized Units</t>
  </si>
  <si>
    <t>Total Formula and Specialized Units</t>
  </si>
  <si>
    <t>Program Initiatives</t>
  </si>
  <si>
    <t>Campus Centers of Excellence</t>
  </si>
  <si>
    <t>Campus Centers of Emphasis</t>
  </si>
  <si>
    <t>UT Access and Diversity Initiative</t>
  </si>
  <si>
    <t>TBR Access and Diversity Initiative</t>
  </si>
  <si>
    <t>THEC Grants</t>
  </si>
  <si>
    <t>Research Initiatives - UT</t>
  </si>
  <si>
    <t>TSU McIntire-Stennis Forestry Research</t>
  </si>
  <si>
    <t>Insurance</t>
  </si>
  <si>
    <t>Base</t>
  </si>
  <si>
    <t>Salary</t>
  </si>
  <si>
    <t>Increase</t>
  </si>
  <si>
    <t>Appropriations</t>
  </si>
  <si>
    <t>Change in</t>
  </si>
  <si>
    <t>UT Municipal Technical Advisory Service</t>
  </si>
  <si>
    <t>UT County Technical Assistance Service</t>
  </si>
  <si>
    <t>UT College of Veterinary Medicine</t>
  </si>
  <si>
    <t>UT Agricultural Experiment Station</t>
  </si>
  <si>
    <t>UT Agricultural Extension Service</t>
  </si>
  <si>
    <t>TSU Institute of Agricultural and Environmental Research</t>
  </si>
  <si>
    <t>University of Memphis</t>
  </si>
  <si>
    <t>Community Colleges</t>
  </si>
  <si>
    <t>Outcomes/</t>
  </si>
  <si>
    <t>Productivity</t>
  </si>
  <si>
    <t>Loan/Scholarships Program</t>
  </si>
  <si>
    <t>Other</t>
  </si>
  <si>
    <t>UT Form</t>
  </si>
  <si>
    <t>TBR Form</t>
  </si>
  <si>
    <t>Revised</t>
  </si>
  <si>
    <t>Percent</t>
  </si>
  <si>
    <t>Change</t>
  </si>
  <si>
    <t>Tennessee Student Assistance Awards</t>
  </si>
  <si>
    <t>Match</t>
  </si>
  <si>
    <t>401k</t>
  </si>
  <si>
    <t>NA</t>
  </si>
  <si>
    <t>Cost Increases</t>
  </si>
  <si>
    <t>Total Higher Education</t>
  </si>
  <si>
    <t xml:space="preserve">401k </t>
  </si>
  <si>
    <t>Total State</t>
  </si>
  <si>
    <t>TN Colleges of Applied Tech</t>
  </si>
  <si>
    <t>Outcomes</t>
  </si>
  <si>
    <t>Tennessee Promise Endowment Scholarships</t>
  </si>
  <si>
    <t>Revisions</t>
  </si>
  <si>
    <t>Recurring Base</t>
  </si>
  <si>
    <t>Lottery for Education Account</t>
  </si>
  <si>
    <t>Adult Learner Initiatives</t>
  </si>
  <si>
    <t>Labor Education Alignment Program</t>
  </si>
  <si>
    <t>Tennessee Higher Education Commission  Administration</t>
  </si>
  <si>
    <t>FOCUS Act</t>
  </si>
  <si>
    <t>UT Health Science Center</t>
  </si>
  <si>
    <t>Veteran Reconnect Grants</t>
  </si>
  <si>
    <t>Seamless Alignment and Integrated Learning Support (SAILS) Program</t>
  </si>
  <si>
    <t>THEC Grants Administration</t>
  </si>
  <si>
    <t>Tennessee Reconnect Community Advisor Program Expansion</t>
  </si>
  <si>
    <t>Tennessee Reconnect Grant Coordinator</t>
  </si>
  <si>
    <t>Capital Projects Coordinator</t>
  </si>
  <si>
    <t>Drive to 55 Support Specialist</t>
  </si>
  <si>
    <t>McWherter Academic Scholars Program</t>
  </si>
  <si>
    <t>Higher Education Capital Maintenance</t>
  </si>
  <si>
    <t>LGI Form</t>
  </si>
  <si>
    <t>College Completion Initiatives for Minority Students</t>
  </si>
  <si>
    <t>Advise TN (College Advisor Corp)</t>
  </si>
  <si>
    <t>Advise TN (College Advisor Corps)</t>
  </si>
  <si>
    <t>College Coaching</t>
  </si>
  <si>
    <t>Tennessee Promise Bridge Grants</t>
  </si>
  <si>
    <t>Tennessee Reconnect Coordinator</t>
  </si>
  <si>
    <t>Tennessee Language Center</t>
  </si>
  <si>
    <t>Institute for Public Service: Other Agencies</t>
  </si>
  <si>
    <t>Governor's Investment in Vocational Education (GIVE) - Community Grants</t>
  </si>
  <si>
    <t>Correctional Education Investment</t>
  </si>
  <si>
    <t>Total Higher Ed and Governor's Initiatives PLUS Lottery</t>
  </si>
  <si>
    <t>Equipment for TN Colleges of Applied Technology</t>
  </si>
  <si>
    <t>2020-21</t>
  </si>
  <si>
    <t>Washington Center Internships</t>
  </si>
  <si>
    <t>Tennessee Promise Forward Grants</t>
  </si>
  <si>
    <t>HBCU Summer Bridge Programs</t>
  </si>
  <si>
    <t>2021-22 Governor's Budget Recommendation</t>
  </si>
  <si>
    <t>2021-22</t>
  </si>
  <si>
    <t>2021-22 Recurring Cost Increases</t>
  </si>
  <si>
    <t>Supporting Postsecondary Access in Rural Communities (SPARC) - 2.0</t>
  </si>
  <si>
    <t>Locally Governed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</si>
</sst>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1" formatCode="_(* #,##0_);_(* \(#,##0\);_(* &quot;-&quot;_);_(@_)"/>
    <numFmt numFmtId="43" formatCode="_(* #,##0.00_);_(* \(#,##0.00\);_(* &quot;-&quot;??_);_(@_)"/>
    <numFmt numFmtId="164" formatCode="0.0%"/>
    <numFmt numFmtId="165" formatCode="_(* #,##0_);_(* \(#,##0\);_(* &quot;-&quot;??_);_(@_)"/>
    <numFmt numFmtId="166" formatCode="m/d/yy;@"/>
    <numFmt numFmtId="167" formatCode="0.0000"/>
    <numFmt numFmtId="168" formatCode="&quot;$&quot;#,##0.0_);\(&quot;$&quot;#,##0.0\)"/>
    <numFmt numFmtId="169" formatCode="_(* #,##0.0_);_(* \(#,##0.0\);_(* &quot;-&quot;?_);_(@_)"/>
  </numFmts>
  <fonts count="32"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color indexed="81"/>
      <name val="Tahoma"/>
      <family val="2"/>
    </font>
    <font>
      <b/>
      <sz val="9"/>
      <color indexed="81"/>
      <name val="Tahoma"/>
      <family val="2"/>
    </font>
    <font>
      <sz val="10"/>
      <color rgb="FFFF0000"/>
      <name val="Open Sans"/>
      <family val="2"/>
    </font>
    <font>
      <b/>
      <sz val="10"/>
      <color rgb="FFFF0000"/>
      <name val="Open Sans"/>
      <family val="2"/>
    </font>
    <font>
      <sz val="12"/>
      <color rgb="FFFF0000"/>
      <name val="Open Sans"/>
      <family val="2"/>
    </font>
    <font>
      <sz val="12"/>
      <name val="Open Sans"/>
      <family val="2"/>
    </font>
    <font>
      <sz val="10"/>
      <name val="Open Sans"/>
      <family val="2"/>
    </font>
    <font>
      <b/>
      <sz val="10"/>
      <name val="Open Sans"/>
      <family val="2"/>
    </font>
    <font>
      <b/>
      <sz val="16"/>
      <name val="Open Sans"/>
      <family val="2"/>
    </font>
    <font>
      <sz val="11"/>
      <name val="Open Sans"/>
      <family val="2"/>
    </font>
    <font>
      <b/>
      <sz val="12"/>
      <name val="Open Sans"/>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499984740745262"/>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0" borderId="0"/>
    <xf numFmtId="0" fontId="15" fillId="23" borderId="7" applyNumberFormat="0" applyFont="0" applyAlignment="0" applyProtection="0"/>
    <xf numFmtId="0" fontId="16" fillId="20" borderId="8" applyNumberFormat="0" applyAlignment="0" applyProtection="0"/>
    <xf numFmtId="9" fontId="6"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9">
    <xf numFmtId="0" fontId="0" fillId="0" borderId="0" xfId="0"/>
    <xf numFmtId="165" fontId="23" fillId="0" borderId="11" xfId="28" applyNumberFormat="1" applyFont="1" applyFill="1" applyBorder="1"/>
    <xf numFmtId="0" fontId="25" fillId="0" borderId="0" xfId="0" applyFont="1" applyFill="1"/>
    <xf numFmtId="5" fontId="25" fillId="0" borderId="0" xfId="0" applyNumberFormat="1" applyFont="1" applyFill="1"/>
    <xf numFmtId="0" fontId="25" fillId="0" borderId="0" xfId="0" applyFont="1" applyFill="1" applyBorder="1"/>
    <xf numFmtId="5" fontId="23" fillId="0" borderId="18" xfId="0" applyNumberFormat="1" applyFont="1" applyFill="1" applyBorder="1"/>
    <xf numFmtId="9" fontId="23" fillId="0" borderId="14" xfId="0" applyNumberFormat="1" applyFont="1" applyFill="1" applyBorder="1"/>
    <xf numFmtId="9" fontId="23" fillId="0" borderId="11" xfId="0" applyNumberFormat="1" applyFont="1" applyFill="1" applyBorder="1"/>
    <xf numFmtId="5" fontId="23" fillId="0" borderId="11" xfId="0" applyNumberFormat="1" applyFont="1" applyFill="1" applyBorder="1"/>
    <xf numFmtId="9" fontId="23" fillId="0" borderId="29" xfId="0" applyNumberFormat="1" applyFont="1" applyFill="1" applyBorder="1"/>
    <xf numFmtId="164" fontId="23" fillId="0" borderId="11" xfId="42" applyNumberFormat="1" applyFont="1" applyFill="1" applyBorder="1"/>
    <xf numFmtId="9" fontId="23" fillId="0" borderId="25" xfId="0" applyNumberFormat="1" applyFont="1" applyFill="1" applyBorder="1"/>
    <xf numFmtId="164" fontId="23" fillId="0" borderId="14" xfId="42" applyNumberFormat="1" applyFont="1" applyFill="1" applyBorder="1" applyAlignment="1">
      <alignment horizontal="center"/>
    </xf>
    <xf numFmtId="5" fontId="24" fillId="0" borderId="11" xfId="0" applyNumberFormat="1" applyFont="1" applyFill="1" applyBorder="1"/>
    <xf numFmtId="0" fontId="23" fillId="0" borderId="11" xfId="0" applyFont="1" applyFill="1" applyBorder="1"/>
    <xf numFmtId="41" fontId="23" fillId="25" borderId="22" xfId="0" applyNumberFormat="1" applyFont="1" applyFill="1" applyBorder="1"/>
    <xf numFmtId="41" fontId="23" fillId="25" borderId="13" xfId="0" applyNumberFormat="1" applyFont="1" applyFill="1" applyBorder="1"/>
    <xf numFmtId="41" fontId="23" fillId="25" borderId="10" xfId="0" applyNumberFormat="1" applyFont="1" applyFill="1" applyBorder="1"/>
    <xf numFmtId="164" fontId="23" fillId="25" borderId="13" xfId="42" applyNumberFormat="1" applyFont="1" applyFill="1" applyBorder="1" applyAlignment="1">
      <alignment horizontal="center"/>
    </xf>
    <xf numFmtId="165" fontId="23" fillId="0" borderId="18" xfId="28" applyNumberFormat="1" applyFont="1" applyFill="1" applyBorder="1"/>
    <xf numFmtId="165" fontId="23" fillId="0" borderId="14" xfId="28" applyNumberFormat="1" applyFont="1" applyFill="1" applyBorder="1"/>
    <xf numFmtId="0" fontId="25" fillId="24" borderId="0" xfId="0" applyFont="1" applyFill="1"/>
    <xf numFmtId="165" fontId="23" fillId="0" borderId="10" xfId="28" applyNumberFormat="1" applyFont="1" applyFill="1" applyBorder="1"/>
    <xf numFmtId="0" fontId="23" fillId="0" borderId="0" xfId="0" applyFont="1" applyFill="1" applyAlignment="1"/>
    <xf numFmtId="5" fontId="23" fillId="0" borderId="0" xfId="0" applyNumberFormat="1" applyFont="1" applyFill="1" applyAlignment="1"/>
    <xf numFmtId="165" fontId="23" fillId="0" borderId="0" xfId="28" applyNumberFormat="1" applyFont="1" applyFill="1" applyBorder="1" applyAlignment="1"/>
    <xf numFmtId="164" fontId="23" fillId="0" borderId="0" xfId="42" applyNumberFormat="1" applyFont="1" applyFill="1" applyAlignment="1"/>
    <xf numFmtId="168" fontId="23" fillId="0" borderId="0" xfId="0" applyNumberFormat="1" applyFont="1" applyFill="1" applyAlignment="1"/>
    <xf numFmtId="43" fontId="23" fillId="0" borderId="0" xfId="28" applyFont="1" applyFill="1" applyAlignment="1"/>
    <xf numFmtId="169" fontId="23" fillId="0" borderId="0" xfId="0" applyNumberFormat="1" applyFont="1" applyFill="1" applyAlignment="1"/>
    <xf numFmtId="165" fontId="25" fillId="0" borderId="0" xfId="28" applyNumberFormat="1" applyFont="1" applyFill="1"/>
    <xf numFmtId="0" fontId="25" fillId="0" borderId="0" xfId="0" applyFont="1"/>
    <xf numFmtId="5" fontId="23" fillId="0" borderId="11" xfId="0" applyNumberFormat="1" applyFont="1" applyBorder="1"/>
    <xf numFmtId="167" fontId="25" fillId="0" borderId="0" xfId="0" applyNumberFormat="1" applyFont="1"/>
    <xf numFmtId="165" fontId="23" fillId="0" borderId="11" xfId="28" applyNumberFormat="1" applyFont="1" applyBorder="1"/>
    <xf numFmtId="5" fontId="24" fillId="0" borderId="0" xfId="0" applyNumberFormat="1" applyFont="1" applyBorder="1" applyAlignment="1"/>
    <xf numFmtId="0" fontId="23" fillId="0" borderId="0" xfId="0" applyFont="1" applyAlignment="1"/>
    <xf numFmtId="5" fontId="23" fillId="0" borderId="0" xfId="0" applyNumberFormat="1" applyFont="1" applyAlignment="1"/>
    <xf numFmtId="165" fontId="23" fillId="0" borderId="46" xfId="28" applyNumberFormat="1" applyFont="1" applyBorder="1" applyAlignment="1">
      <alignment horizontal="right"/>
    </xf>
    <xf numFmtId="0" fontId="23" fillId="0" borderId="0" xfId="0" applyFont="1"/>
    <xf numFmtId="165" fontId="23" fillId="0" borderId="0" xfId="28" applyNumberFormat="1" applyFont="1" applyBorder="1" applyAlignment="1">
      <alignment horizontal="right"/>
    </xf>
    <xf numFmtId="165" fontId="23" fillId="0" borderId="40" xfId="28" applyNumberFormat="1" applyFont="1" applyBorder="1" applyAlignment="1">
      <alignment horizontal="right"/>
    </xf>
    <xf numFmtId="0" fontId="26" fillId="0" borderId="0" xfId="0" applyFont="1"/>
    <xf numFmtId="0" fontId="27" fillId="0" borderId="19" xfId="0" applyFont="1" applyBorder="1"/>
    <xf numFmtId="0" fontId="27" fillId="0" borderId="18" xfId="0" applyFont="1" applyBorder="1"/>
    <xf numFmtId="0" fontId="27" fillId="0" borderId="22" xfId="0" applyFont="1" applyBorder="1"/>
    <xf numFmtId="0" fontId="28" fillId="0" borderId="18" xfId="0" applyFont="1" applyBorder="1"/>
    <xf numFmtId="0" fontId="27" fillId="0" borderId="23" xfId="0" applyFont="1" applyBorder="1"/>
    <xf numFmtId="0" fontId="28" fillId="0" borderId="18" xfId="0" applyFont="1" applyBorder="1" applyAlignment="1">
      <alignment horizontal="right"/>
    </xf>
    <xf numFmtId="0" fontId="26" fillId="0" borderId="18" xfId="0" applyFont="1" applyBorder="1"/>
    <xf numFmtId="0" fontId="28" fillId="0" borderId="18" xfId="0" applyFont="1" applyBorder="1" applyAlignment="1">
      <alignment horizontal="left"/>
    </xf>
    <xf numFmtId="0" fontId="28" fillId="0" borderId="24" xfId="0" applyFont="1" applyBorder="1"/>
    <xf numFmtId="0" fontId="28" fillId="0" borderId="0" xfId="0" applyFont="1" applyBorder="1" applyAlignment="1"/>
    <xf numFmtId="0" fontId="27" fillId="0" borderId="0" xfId="0" applyFont="1" applyAlignment="1"/>
    <xf numFmtId="0" fontId="28" fillId="0" borderId="27" xfId="0" applyFont="1" applyBorder="1" applyAlignment="1">
      <alignment horizontal="right"/>
    </xf>
    <xf numFmtId="0" fontId="28" fillId="0" borderId="12" xfId="0" applyFont="1" applyBorder="1" applyAlignment="1">
      <alignment horizontal="right"/>
    </xf>
    <xf numFmtId="0" fontId="28" fillId="0" borderId="28" xfId="0" applyFont="1" applyBorder="1" applyAlignment="1">
      <alignment horizontal="right"/>
    </xf>
    <xf numFmtId="0" fontId="28" fillId="0" borderId="0" xfId="0" applyFont="1" applyBorder="1" applyAlignment="1">
      <alignment horizontal="right"/>
    </xf>
    <xf numFmtId="0" fontId="27" fillId="0" borderId="0" xfId="0" applyFont="1"/>
    <xf numFmtId="5" fontId="27" fillId="0" borderId="0" xfId="0" applyNumberFormat="1" applyFont="1" applyBorder="1"/>
    <xf numFmtId="0" fontId="26" fillId="0" borderId="0" xfId="0" applyFont="1" applyFill="1"/>
    <xf numFmtId="0" fontId="26" fillId="0" borderId="0" xfId="0" applyFont="1" applyBorder="1"/>
    <xf numFmtId="0" fontId="27" fillId="0" borderId="19" xfId="0" applyFont="1" applyFill="1" applyBorder="1"/>
    <xf numFmtId="0" fontId="27" fillId="0" borderId="18" xfId="0" applyFont="1" applyFill="1" applyBorder="1"/>
    <xf numFmtId="0" fontId="27" fillId="0" borderId="22" xfId="0" applyFont="1" applyFill="1" applyBorder="1"/>
    <xf numFmtId="0" fontId="28" fillId="0" borderId="18" xfId="0" applyFont="1" applyFill="1" applyBorder="1"/>
    <xf numFmtId="0" fontId="27" fillId="0" borderId="32" xfId="0" applyFont="1" applyFill="1" applyBorder="1"/>
    <xf numFmtId="0" fontId="28" fillId="0" borderId="18" xfId="0" applyFont="1" applyFill="1" applyBorder="1" applyAlignment="1">
      <alignment horizontal="right"/>
    </xf>
    <xf numFmtId="0" fontId="27" fillId="25" borderId="26" xfId="0" applyFont="1" applyFill="1" applyBorder="1" applyAlignment="1">
      <alignment horizontal="right"/>
    </xf>
    <xf numFmtId="0" fontId="27" fillId="25" borderId="23" xfId="0" applyFont="1" applyFill="1" applyBorder="1" applyAlignment="1">
      <alignment horizontal="right"/>
    </xf>
    <xf numFmtId="0" fontId="27" fillId="0" borderId="23" xfId="0" applyFont="1" applyFill="1" applyBorder="1"/>
    <xf numFmtId="0" fontId="27" fillId="25" borderId="18" xfId="0" applyFont="1" applyFill="1" applyBorder="1" applyAlignment="1">
      <alignment horizontal="right"/>
    </xf>
    <xf numFmtId="0" fontId="27" fillId="25" borderId="22" xfId="0" applyFont="1" applyFill="1" applyBorder="1" applyAlignment="1">
      <alignment horizontal="right"/>
    </xf>
    <xf numFmtId="0" fontId="28" fillId="0" borderId="26" xfId="0" applyFont="1" applyFill="1" applyBorder="1" applyAlignment="1">
      <alignment horizontal="right"/>
    </xf>
    <xf numFmtId="0" fontId="28" fillId="0" borderId="23" xfId="0" applyFont="1" applyFill="1" applyBorder="1" applyAlignment="1">
      <alignment horizontal="right"/>
    </xf>
    <xf numFmtId="0" fontId="28" fillId="0" borderId="24" xfId="0" applyFont="1" applyFill="1" applyBorder="1" applyAlignment="1">
      <alignment horizontal="right"/>
    </xf>
    <xf numFmtId="0" fontId="27" fillId="0" borderId="39" xfId="0" applyFont="1" applyFill="1" applyBorder="1" applyAlignment="1"/>
    <xf numFmtId="0" fontId="28" fillId="0" borderId="41" xfId="0" applyFont="1" applyFill="1" applyBorder="1" applyAlignment="1">
      <alignment horizontal="right"/>
    </xf>
    <xf numFmtId="0" fontId="28" fillId="27" borderId="41" xfId="0" applyFont="1" applyFill="1" applyBorder="1" applyAlignment="1">
      <alignment horizontal="right"/>
    </xf>
    <xf numFmtId="5" fontId="26" fillId="0" borderId="0" xfId="0" applyNumberFormat="1" applyFont="1" applyFill="1"/>
    <xf numFmtId="0" fontId="26" fillId="0" borderId="0" xfId="0" applyFont="1" applyFill="1" applyBorder="1"/>
    <xf numFmtId="0" fontId="27" fillId="0" borderId="20" xfId="0" applyFont="1" applyBorder="1" applyAlignment="1">
      <alignment horizontal="center"/>
    </xf>
    <xf numFmtId="164" fontId="27" fillId="0" borderId="14" xfId="42" applyNumberFormat="1" applyFont="1" applyBorder="1" applyAlignment="1">
      <alignment horizontal="center"/>
    </xf>
    <xf numFmtId="164" fontId="27" fillId="0" borderId="13" xfId="42" applyNumberFormat="1" applyFont="1" applyBorder="1" applyAlignment="1">
      <alignment horizontal="center"/>
    </xf>
    <xf numFmtId="9" fontId="27" fillId="0" borderId="14" xfId="0" applyNumberFormat="1" applyFont="1" applyBorder="1"/>
    <xf numFmtId="5" fontId="27" fillId="0" borderId="14" xfId="0" applyNumberFormat="1" applyFont="1" applyBorder="1"/>
    <xf numFmtId="165" fontId="27" fillId="0" borderId="14" xfId="28" applyNumberFormat="1" applyFont="1" applyBorder="1"/>
    <xf numFmtId="165" fontId="27" fillId="0" borderId="13" xfId="28" applyNumberFormat="1" applyFont="1" applyBorder="1"/>
    <xf numFmtId="5" fontId="28" fillId="0" borderId="14" xfId="0" applyNumberFormat="1" applyFont="1" applyBorder="1"/>
    <xf numFmtId="0" fontId="27" fillId="0" borderId="14" xfId="0" applyFont="1" applyBorder="1"/>
    <xf numFmtId="5" fontId="28" fillId="0" borderId="16" xfId="0" applyNumberFormat="1" applyFont="1" applyBorder="1"/>
    <xf numFmtId="5" fontId="28" fillId="0" borderId="0" xfId="0" applyNumberFormat="1" applyFont="1" applyBorder="1" applyAlignment="1"/>
    <xf numFmtId="5" fontId="27" fillId="0" borderId="0" xfId="0" applyNumberFormat="1" applyFont="1" applyAlignment="1"/>
    <xf numFmtId="165" fontId="27" fillId="0" borderId="46" xfId="28" applyNumberFormat="1" applyFont="1" applyBorder="1" applyAlignment="1">
      <alignment horizontal="right"/>
    </xf>
    <xf numFmtId="165" fontId="27" fillId="0" borderId="0" xfId="28" applyNumberFormat="1" applyFont="1" applyBorder="1" applyAlignment="1">
      <alignment horizontal="right"/>
    </xf>
    <xf numFmtId="165" fontId="27" fillId="0" borderId="40" xfId="28" applyNumberFormat="1" applyFont="1" applyBorder="1" applyAlignment="1">
      <alignment horizontal="right"/>
    </xf>
    <xf numFmtId="165" fontId="27" fillId="0" borderId="0" xfId="28" applyNumberFormat="1" applyFont="1" applyBorder="1"/>
    <xf numFmtId="165" fontId="27" fillId="0" borderId="40" xfId="28" applyNumberFormat="1" applyFont="1" applyBorder="1"/>
    <xf numFmtId="5" fontId="28" fillId="0" borderId="0" xfId="0" applyNumberFormat="1" applyFont="1" applyBorder="1"/>
    <xf numFmtId="0" fontId="27" fillId="0" borderId="38" xfId="0" applyFont="1" applyBorder="1" applyAlignment="1">
      <alignment horizontal="center"/>
    </xf>
    <xf numFmtId="0" fontId="27" fillId="0" borderId="40" xfId="0" applyFont="1" applyBorder="1" applyAlignment="1">
      <alignment horizontal="center"/>
    </xf>
    <xf numFmtId="9" fontId="27" fillId="0" borderId="0" xfId="0" applyNumberFormat="1" applyFont="1" applyBorder="1"/>
    <xf numFmtId="0" fontId="27" fillId="0" borderId="0" xfId="0" applyFont="1" applyBorder="1"/>
    <xf numFmtId="5" fontId="28" fillId="0" borderId="37" xfId="0" applyNumberFormat="1" applyFont="1" applyBorder="1"/>
    <xf numFmtId="2" fontId="27" fillId="0" borderId="50" xfId="42" applyNumberFormat="1" applyFont="1" applyBorder="1" applyAlignment="1">
      <alignment horizontal="center"/>
    </xf>
    <xf numFmtId="164" fontId="27" fillId="0" borderId="31" xfId="42" applyNumberFormat="1" applyFont="1" applyBorder="1" applyAlignment="1">
      <alignment horizontal="center"/>
    </xf>
    <xf numFmtId="164" fontId="27" fillId="0" borderId="29" xfId="42" applyNumberFormat="1" applyFont="1" applyBorder="1" applyAlignment="1">
      <alignment horizontal="center"/>
    </xf>
    <xf numFmtId="5" fontId="27" fillId="0" borderId="32" xfId="0" applyNumberFormat="1" applyFont="1" applyFill="1" applyBorder="1"/>
    <xf numFmtId="165" fontId="27" fillId="0" borderId="32" xfId="28" applyNumberFormat="1" applyFont="1" applyFill="1" applyBorder="1"/>
    <xf numFmtId="165" fontId="27" fillId="0" borderId="23" xfId="28" applyNumberFormat="1" applyFont="1" applyFill="1" applyBorder="1"/>
    <xf numFmtId="5" fontId="27" fillId="0" borderId="11" xfId="0" applyNumberFormat="1" applyFont="1" applyFill="1" applyBorder="1"/>
    <xf numFmtId="5" fontId="27" fillId="0" borderId="14" xfId="0" applyNumberFormat="1" applyFont="1" applyFill="1" applyBorder="1"/>
    <xf numFmtId="165" fontId="27" fillId="0" borderId="11" xfId="28" applyNumberFormat="1" applyFont="1" applyFill="1" applyBorder="1"/>
    <xf numFmtId="165" fontId="27" fillId="0" borderId="14" xfId="28" applyNumberFormat="1" applyFont="1" applyFill="1" applyBorder="1"/>
    <xf numFmtId="165" fontId="27" fillId="0" borderId="10" xfId="28" applyNumberFormat="1" applyFont="1" applyFill="1" applyBorder="1"/>
    <xf numFmtId="165" fontId="27" fillId="0" borderId="13" xfId="28" applyNumberFormat="1" applyFont="1" applyFill="1" applyBorder="1"/>
    <xf numFmtId="5" fontId="28" fillId="0" borderId="11" xfId="0" applyNumberFormat="1" applyFont="1" applyFill="1" applyBorder="1"/>
    <xf numFmtId="5" fontId="28" fillId="0" borderId="14" xfId="0" applyNumberFormat="1" applyFont="1" applyFill="1" applyBorder="1"/>
    <xf numFmtId="5" fontId="28" fillId="0" borderId="32" xfId="0" applyNumberFormat="1" applyFont="1" applyFill="1" applyBorder="1"/>
    <xf numFmtId="0" fontId="27" fillId="0" borderId="32" xfId="0" applyFont="1" applyBorder="1" applyAlignment="1">
      <alignment horizontal="center"/>
    </xf>
    <xf numFmtId="0" fontId="27" fillId="0" borderId="23" xfId="0" applyFont="1" applyBorder="1" applyAlignment="1">
      <alignment horizontal="center"/>
    </xf>
    <xf numFmtId="9" fontId="27" fillId="0" borderId="32" xfId="0" applyNumberFormat="1" applyFont="1" applyBorder="1"/>
    <xf numFmtId="5" fontId="27" fillId="0" borderId="32" xfId="0" applyNumberFormat="1" applyFont="1" applyBorder="1"/>
    <xf numFmtId="165" fontId="27" fillId="0" borderId="32" xfId="28" applyNumberFormat="1" applyFont="1" applyBorder="1"/>
    <xf numFmtId="5" fontId="28" fillId="0" borderId="33" xfId="0" applyNumberFormat="1" applyFont="1" applyFill="1" applyBorder="1"/>
    <xf numFmtId="165" fontId="27" fillId="0" borderId="29" xfId="28" applyNumberFormat="1" applyFont="1" applyFill="1" applyBorder="1"/>
    <xf numFmtId="0" fontId="27" fillId="0" borderId="11" xfId="0" applyFont="1" applyBorder="1" applyAlignment="1">
      <alignment horizontal="center"/>
    </xf>
    <xf numFmtId="166" fontId="27" fillId="0" borderId="14" xfId="42" applyNumberFormat="1" applyFont="1" applyBorder="1" applyAlignment="1">
      <alignment horizontal="center"/>
    </xf>
    <xf numFmtId="43" fontId="27" fillId="0" borderId="29" xfId="28" applyFont="1" applyBorder="1" applyAlignment="1">
      <alignment horizontal="center"/>
    </xf>
    <xf numFmtId="43" fontId="27" fillId="0" borderId="32" xfId="28" applyFont="1" applyBorder="1" applyAlignment="1">
      <alignment horizontal="center"/>
    </xf>
    <xf numFmtId="43" fontId="27" fillId="0" borderId="11" xfId="28" applyFont="1" applyBorder="1" applyAlignment="1">
      <alignment horizontal="center"/>
    </xf>
    <xf numFmtId="43" fontId="27" fillId="0" borderId="14" xfId="28" applyFont="1" applyBorder="1" applyAlignment="1">
      <alignment horizontal="center"/>
    </xf>
    <xf numFmtId="0" fontId="27" fillId="0" borderId="14" xfId="0" applyFont="1" applyBorder="1" applyAlignment="1">
      <alignment horizontal="center"/>
    </xf>
    <xf numFmtId="0" fontId="27" fillId="0" borderId="10" xfId="0" applyFont="1" applyBorder="1" applyAlignment="1">
      <alignment horizontal="center"/>
    </xf>
    <xf numFmtId="164" fontId="27" fillId="0" borderId="10" xfId="42" applyNumberFormat="1" applyFont="1" applyBorder="1" applyAlignment="1">
      <alignment horizontal="center"/>
    </xf>
    <xf numFmtId="164" fontId="27" fillId="0" borderId="30" xfId="42" applyNumberFormat="1" applyFont="1" applyBorder="1" applyAlignment="1">
      <alignment horizontal="center"/>
    </xf>
    <xf numFmtId="164" fontId="27" fillId="0" borderId="23" xfId="42" applyNumberFormat="1" applyFont="1" applyBorder="1" applyAlignment="1">
      <alignment horizontal="center"/>
    </xf>
    <xf numFmtId="0" fontId="27" fillId="0" borderId="13" xfId="0" applyFont="1" applyBorder="1" applyAlignment="1">
      <alignment horizontal="center"/>
    </xf>
    <xf numFmtId="9" fontId="27" fillId="0" borderId="11" xfId="0" applyNumberFormat="1" applyFont="1" applyBorder="1"/>
    <xf numFmtId="5" fontId="27" fillId="0" borderId="11" xfId="0" applyNumberFormat="1" applyFont="1" applyBorder="1"/>
    <xf numFmtId="165" fontId="27" fillId="0" borderId="11" xfId="28" applyNumberFormat="1" applyFont="1" applyBorder="1"/>
    <xf numFmtId="0" fontId="27" fillId="0" borderId="11" xfId="0" applyFont="1" applyFill="1" applyBorder="1"/>
    <xf numFmtId="5" fontId="28" fillId="0" borderId="15" xfId="0" applyNumberFormat="1" applyFont="1" applyFill="1" applyBorder="1"/>
    <xf numFmtId="0" fontId="27" fillId="0" borderId="14" xfId="0" applyFont="1" applyFill="1" applyBorder="1"/>
    <xf numFmtId="5" fontId="28" fillId="0" borderId="16" xfId="0" applyNumberFormat="1" applyFont="1" applyFill="1" applyBorder="1"/>
    <xf numFmtId="9" fontId="27" fillId="0" borderId="55" xfId="0" applyNumberFormat="1" applyFont="1" applyBorder="1"/>
    <xf numFmtId="5" fontId="27" fillId="0" borderId="29" xfId="0" applyNumberFormat="1" applyFont="1" applyBorder="1"/>
    <xf numFmtId="165" fontId="27" fillId="0" borderId="29" xfId="28" applyNumberFormat="1" applyFont="1" applyBorder="1"/>
    <xf numFmtId="165" fontId="27" fillId="0" borderId="30" xfId="28" applyNumberFormat="1" applyFont="1" applyFill="1" applyBorder="1"/>
    <xf numFmtId="5" fontId="28" fillId="0" borderId="29" xfId="0" applyNumberFormat="1" applyFont="1" applyFill="1" applyBorder="1"/>
    <xf numFmtId="0" fontId="27" fillId="0" borderId="29" xfId="0" applyFont="1" applyFill="1" applyBorder="1"/>
    <xf numFmtId="5" fontId="27" fillId="0" borderId="29" xfId="0" applyNumberFormat="1" applyFont="1" applyFill="1" applyBorder="1"/>
    <xf numFmtId="5" fontId="28" fillId="0" borderId="56" xfId="0" applyNumberFormat="1" applyFont="1" applyFill="1" applyBorder="1"/>
    <xf numFmtId="164" fontId="27" fillId="0" borderId="14" xfId="42" applyNumberFormat="1" applyFont="1" applyFill="1" applyBorder="1"/>
    <xf numFmtId="164" fontId="27" fillId="0" borderId="32" xfId="42" applyNumberFormat="1" applyFont="1" applyBorder="1"/>
    <xf numFmtId="165" fontId="27" fillId="0" borderId="10" xfId="28" applyNumberFormat="1" applyFont="1" applyBorder="1"/>
    <xf numFmtId="165" fontId="27" fillId="0" borderId="23" xfId="28" applyNumberFormat="1" applyFont="1" applyBorder="1"/>
    <xf numFmtId="5" fontId="28" fillId="0" borderId="11" xfId="0" applyNumberFormat="1" applyFont="1" applyBorder="1"/>
    <xf numFmtId="5" fontId="28" fillId="0" borderId="32" xfId="0" applyNumberFormat="1" applyFont="1" applyBorder="1"/>
    <xf numFmtId="164" fontId="28" fillId="0" borderId="14" xfId="42" applyNumberFormat="1" applyFont="1" applyBorder="1" applyAlignment="1">
      <alignment horizontal="center"/>
    </xf>
    <xf numFmtId="0" fontId="27" fillId="0" borderId="11" xfId="0" applyFont="1" applyBorder="1"/>
    <xf numFmtId="0" fontId="27" fillId="0" borderId="32" xfId="0" applyFont="1" applyBorder="1"/>
    <xf numFmtId="5" fontId="28" fillId="0" borderId="15" xfId="0" applyNumberFormat="1" applyFont="1" applyBorder="1"/>
    <xf numFmtId="5" fontId="28" fillId="0" borderId="33" xfId="0" applyNumberFormat="1" applyFont="1" applyBorder="1"/>
    <xf numFmtId="164" fontId="28" fillId="0" borderId="16" xfId="42" applyNumberFormat="1" applyFont="1" applyBorder="1" applyAlignment="1">
      <alignment horizontal="center"/>
    </xf>
    <xf numFmtId="164" fontId="28" fillId="0" borderId="0" xfId="42" applyNumberFormat="1" applyFont="1" applyBorder="1" applyAlignment="1">
      <alignment horizontal="center"/>
    </xf>
    <xf numFmtId="165" fontId="27" fillId="0" borderId="47" xfId="28" applyNumberFormat="1" applyFont="1" applyBorder="1" applyAlignment="1">
      <alignment horizontal="right"/>
    </xf>
    <xf numFmtId="165" fontId="27" fillId="0" borderId="38" xfId="28" applyNumberFormat="1" applyFont="1" applyBorder="1" applyAlignment="1">
      <alignment horizontal="right"/>
    </xf>
    <xf numFmtId="165" fontId="27" fillId="0" borderId="36" xfId="28" applyNumberFormat="1" applyFont="1" applyBorder="1" applyAlignment="1">
      <alignment horizontal="right"/>
    </xf>
    <xf numFmtId="0" fontId="27" fillId="0" borderId="34" xfId="0" applyFont="1" applyFill="1" applyBorder="1" applyAlignment="1">
      <alignment horizontal="center"/>
    </xf>
    <xf numFmtId="164" fontId="27" fillId="0" borderId="12" xfId="42" applyNumberFormat="1" applyFont="1" applyFill="1" applyBorder="1" applyAlignment="1">
      <alignment horizontal="center"/>
    </xf>
    <xf numFmtId="164" fontId="27" fillId="0" borderId="28" xfId="42" applyNumberFormat="1" applyFont="1" applyFill="1" applyBorder="1" applyAlignment="1">
      <alignment horizontal="center"/>
    </xf>
    <xf numFmtId="5" fontId="27" fillId="0" borderId="12" xfId="0" applyNumberFormat="1" applyFont="1" applyFill="1" applyBorder="1"/>
    <xf numFmtId="41" fontId="27" fillId="0" borderId="12" xfId="0" applyNumberFormat="1" applyFont="1" applyFill="1" applyBorder="1"/>
    <xf numFmtId="5" fontId="28" fillId="0" borderId="27" xfId="0" applyNumberFormat="1" applyFont="1" applyFill="1" applyBorder="1"/>
    <xf numFmtId="0" fontId="27" fillId="0" borderId="12" xfId="0" applyFont="1" applyFill="1" applyBorder="1"/>
    <xf numFmtId="41" fontId="27" fillId="25" borderId="27" xfId="0" applyNumberFormat="1" applyFont="1" applyFill="1" applyBorder="1"/>
    <xf numFmtId="41" fontId="27" fillId="25" borderId="28" xfId="0" applyNumberFormat="1" applyFont="1" applyFill="1" applyBorder="1"/>
    <xf numFmtId="41" fontId="27" fillId="0" borderId="28" xfId="0" applyNumberFormat="1" applyFont="1" applyFill="1" applyBorder="1"/>
    <xf numFmtId="5" fontId="28" fillId="0" borderId="12" xfId="0" applyNumberFormat="1" applyFont="1" applyFill="1" applyBorder="1"/>
    <xf numFmtId="165" fontId="27" fillId="0" borderId="12" xfId="28" applyNumberFormat="1" applyFont="1" applyFill="1" applyBorder="1"/>
    <xf numFmtId="41" fontId="27" fillId="25" borderId="12" xfId="0" applyNumberFormat="1" applyFont="1" applyFill="1" applyBorder="1"/>
    <xf numFmtId="5" fontId="28" fillId="0" borderId="28" xfId="0" applyNumberFormat="1" applyFont="1" applyFill="1" applyBorder="1"/>
    <xf numFmtId="165" fontId="27" fillId="25" borderId="27" xfId="28" applyNumberFormat="1" applyFont="1" applyFill="1" applyBorder="1"/>
    <xf numFmtId="165" fontId="27" fillId="25" borderId="12" xfId="28" applyNumberFormat="1" applyFont="1" applyFill="1" applyBorder="1"/>
    <xf numFmtId="165" fontId="27" fillId="25" borderId="28" xfId="28" applyNumberFormat="1" applyFont="1" applyFill="1" applyBorder="1"/>
    <xf numFmtId="5" fontId="28" fillId="0" borderId="17" xfId="0" applyNumberFormat="1" applyFont="1" applyFill="1" applyBorder="1"/>
    <xf numFmtId="5" fontId="27" fillId="0" borderId="39" xfId="0" applyNumberFormat="1" applyFont="1" applyFill="1" applyBorder="1" applyAlignment="1"/>
    <xf numFmtId="5" fontId="28" fillId="0" borderId="43" xfId="0" applyNumberFormat="1" applyFont="1" applyFill="1" applyBorder="1"/>
    <xf numFmtId="5" fontId="28" fillId="27" borderId="43" xfId="0" applyNumberFormat="1" applyFont="1" applyFill="1" applyBorder="1"/>
    <xf numFmtId="5" fontId="28" fillId="26" borderId="43" xfId="0" applyNumberFormat="1" applyFont="1" applyFill="1" applyBorder="1"/>
    <xf numFmtId="165" fontId="30" fillId="0" borderId="0" xfId="28" applyNumberFormat="1" applyFont="1" applyFill="1" applyBorder="1"/>
    <xf numFmtId="0" fontId="27" fillId="0" borderId="50" xfId="0" applyFont="1" applyFill="1" applyBorder="1" applyAlignment="1">
      <alignment horizontal="center"/>
    </xf>
    <xf numFmtId="164" fontId="27" fillId="0" borderId="21" xfId="42" applyNumberFormat="1" applyFont="1" applyFill="1" applyBorder="1" applyAlignment="1">
      <alignment horizontal="center"/>
    </xf>
    <xf numFmtId="0" fontId="27" fillId="0" borderId="20" xfId="0" applyFont="1" applyFill="1" applyBorder="1" applyAlignment="1">
      <alignment horizontal="center"/>
    </xf>
    <xf numFmtId="164" fontId="27" fillId="0" borderId="32" xfId="42" applyNumberFormat="1" applyFont="1" applyFill="1" applyBorder="1" applyAlignment="1">
      <alignment horizontal="center"/>
    </xf>
    <xf numFmtId="166" fontId="27" fillId="0" borderId="14" xfId="42" applyNumberFormat="1" applyFont="1" applyFill="1" applyBorder="1" applyAlignment="1">
      <alignment horizontal="center"/>
    </xf>
    <xf numFmtId="0" fontId="27" fillId="0" borderId="32" xfId="0" applyFont="1" applyFill="1" applyBorder="1" applyAlignment="1">
      <alignment horizontal="center"/>
    </xf>
    <xf numFmtId="0" fontId="27" fillId="0" borderId="11" xfId="0" applyFont="1" applyFill="1" applyBorder="1" applyAlignment="1">
      <alignment horizontal="center"/>
    </xf>
    <xf numFmtId="164" fontId="27" fillId="0" borderId="11" xfId="42" applyNumberFormat="1" applyFont="1" applyFill="1" applyBorder="1" applyAlignment="1">
      <alignment horizontal="center"/>
    </xf>
    <xf numFmtId="166" fontId="27" fillId="0" borderId="29" xfId="42" applyNumberFormat="1" applyFont="1" applyFill="1" applyBorder="1" applyAlignment="1">
      <alignment horizontal="center"/>
    </xf>
    <xf numFmtId="166" fontId="27" fillId="0" borderId="32" xfId="42" applyNumberFormat="1" applyFont="1" applyFill="1" applyBorder="1" applyAlignment="1">
      <alignment horizontal="center"/>
    </xf>
    <xf numFmtId="43" fontId="27" fillId="0" borderId="11" xfId="28" applyFont="1" applyFill="1" applyBorder="1" applyAlignment="1">
      <alignment horizontal="center"/>
    </xf>
    <xf numFmtId="0" fontId="27" fillId="0" borderId="14" xfId="0" applyFont="1" applyFill="1" applyBorder="1" applyAlignment="1">
      <alignment horizontal="center"/>
    </xf>
    <xf numFmtId="164" fontId="27" fillId="0" borderId="23" xfId="42" applyNumberFormat="1" applyFont="1" applyFill="1" applyBorder="1" applyAlignment="1">
      <alignment horizontal="center"/>
    </xf>
    <xf numFmtId="164" fontId="27" fillId="0" borderId="13" xfId="42" applyNumberFormat="1" applyFont="1" applyFill="1" applyBorder="1" applyAlignment="1">
      <alignment horizontal="center"/>
    </xf>
    <xf numFmtId="0" fontId="27" fillId="0" borderId="23" xfId="0" applyFont="1" applyFill="1" applyBorder="1" applyAlignment="1">
      <alignment horizontal="center"/>
    </xf>
    <xf numFmtId="0" fontId="27" fillId="0" borderId="10" xfId="0" applyFont="1" applyFill="1" applyBorder="1" applyAlignment="1">
      <alignment horizontal="center"/>
    </xf>
    <xf numFmtId="164" fontId="27" fillId="0" borderId="10" xfId="42" applyNumberFormat="1" applyFont="1" applyFill="1" applyBorder="1" applyAlignment="1">
      <alignment horizontal="center"/>
    </xf>
    <xf numFmtId="164" fontId="27" fillId="0" borderId="30" xfId="42" applyNumberFormat="1" applyFont="1" applyFill="1" applyBorder="1" applyAlignment="1">
      <alignment horizontal="center"/>
    </xf>
    <xf numFmtId="0" fontId="27" fillId="0" borderId="13" xfId="0" applyFont="1" applyFill="1" applyBorder="1" applyAlignment="1">
      <alignment horizontal="center"/>
    </xf>
    <xf numFmtId="5" fontId="27" fillId="0" borderId="18" xfId="0" applyNumberFormat="1" applyFont="1" applyFill="1" applyBorder="1"/>
    <xf numFmtId="41" fontId="27" fillId="25" borderId="26" xfId="0" applyNumberFormat="1" applyFont="1" applyFill="1" applyBorder="1"/>
    <xf numFmtId="41" fontId="27" fillId="25" borderId="25" xfId="0" applyNumberFormat="1" applyFont="1" applyFill="1" applyBorder="1"/>
    <xf numFmtId="41" fontId="27" fillId="0" borderId="18" xfId="0" applyNumberFormat="1" applyFont="1" applyFill="1" applyBorder="1"/>
    <xf numFmtId="41" fontId="27" fillId="0" borderId="14" xfId="0" applyNumberFormat="1" applyFont="1" applyFill="1" applyBorder="1"/>
    <xf numFmtId="41" fontId="27" fillId="0" borderId="11" xfId="0" applyNumberFormat="1" applyFont="1" applyFill="1" applyBorder="1"/>
    <xf numFmtId="164" fontId="27" fillId="0" borderId="14" xfId="42" applyNumberFormat="1" applyFont="1" applyFill="1" applyBorder="1" applyAlignment="1">
      <alignment horizontal="center"/>
    </xf>
    <xf numFmtId="41" fontId="27" fillId="0" borderId="32" xfId="0" applyNumberFormat="1" applyFont="1" applyFill="1" applyBorder="1"/>
    <xf numFmtId="41" fontId="27" fillId="0" borderId="10" xfId="0" applyNumberFormat="1" applyFont="1" applyFill="1" applyBorder="1"/>
    <xf numFmtId="41" fontId="27" fillId="0" borderId="13" xfId="0" applyNumberFormat="1" applyFont="1" applyFill="1" applyBorder="1"/>
    <xf numFmtId="41" fontId="27" fillId="25" borderId="35" xfId="0" applyNumberFormat="1" applyFont="1" applyFill="1" applyBorder="1"/>
    <xf numFmtId="164" fontId="27" fillId="25" borderId="25" xfId="42" applyNumberFormat="1" applyFont="1" applyFill="1" applyBorder="1" applyAlignment="1">
      <alignment horizontal="center"/>
    </xf>
    <xf numFmtId="41" fontId="27" fillId="25" borderId="22" xfId="0" applyNumberFormat="1" applyFont="1" applyFill="1" applyBorder="1"/>
    <xf numFmtId="41" fontId="27" fillId="25" borderId="13" xfId="0" applyNumberFormat="1" applyFont="1" applyFill="1" applyBorder="1"/>
    <xf numFmtId="9" fontId="27" fillId="0" borderId="14" xfId="0" applyNumberFormat="1" applyFont="1" applyFill="1" applyBorder="1"/>
    <xf numFmtId="5" fontId="28" fillId="0" borderId="25" xfId="0" applyNumberFormat="1" applyFont="1" applyFill="1" applyBorder="1"/>
    <xf numFmtId="41" fontId="27" fillId="25" borderId="14" xfId="0" applyNumberFormat="1" applyFont="1" applyFill="1" applyBorder="1"/>
    <xf numFmtId="5" fontId="28" fillId="0" borderId="13" xfId="0" applyNumberFormat="1" applyFont="1" applyFill="1" applyBorder="1"/>
    <xf numFmtId="165" fontId="27" fillId="0" borderId="39" xfId="0" applyNumberFormat="1" applyFont="1" applyFill="1" applyBorder="1" applyAlignment="1"/>
    <xf numFmtId="5" fontId="28" fillId="0" borderId="45" xfId="0" applyNumberFormat="1" applyFont="1" applyFill="1" applyBorder="1"/>
    <xf numFmtId="5" fontId="28" fillId="27" borderId="45" xfId="0" applyNumberFormat="1" applyFont="1" applyFill="1" applyBorder="1"/>
    <xf numFmtId="0" fontId="27" fillId="0" borderId="0" xfId="0" applyFont="1" applyFill="1" applyAlignment="1"/>
    <xf numFmtId="5" fontId="27" fillId="0" borderId="0" xfId="0" applyNumberFormat="1" applyFont="1" applyFill="1" applyAlignment="1"/>
    <xf numFmtId="164" fontId="28" fillId="0" borderId="14" xfId="42" applyNumberFormat="1" applyFont="1" applyFill="1" applyBorder="1" applyAlignment="1">
      <alignment horizontal="center"/>
    </xf>
    <xf numFmtId="41" fontId="27" fillId="25" borderId="10" xfId="0" applyNumberFormat="1" applyFont="1" applyFill="1" applyBorder="1"/>
    <xf numFmtId="164" fontId="27" fillId="25" borderId="13" xfId="42" applyNumberFormat="1" applyFont="1" applyFill="1" applyBorder="1" applyAlignment="1">
      <alignment horizontal="center"/>
    </xf>
    <xf numFmtId="41" fontId="27" fillId="0" borderId="22" xfId="0" applyNumberFormat="1" applyFont="1" applyFill="1" applyBorder="1"/>
    <xf numFmtId="5" fontId="28" fillId="0" borderId="54" xfId="0" applyNumberFormat="1" applyFont="1" applyFill="1" applyBorder="1"/>
    <xf numFmtId="5" fontId="28" fillId="0" borderId="35" xfId="0" applyNumberFormat="1" applyFont="1" applyFill="1" applyBorder="1"/>
    <xf numFmtId="164" fontId="28" fillId="0" borderId="25" xfId="42" applyNumberFormat="1" applyFont="1" applyFill="1" applyBorder="1" applyAlignment="1">
      <alignment horizontal="center"/>
    </xf>
    <xf numFmtId="41" fontId="27" fillId="25" borderId="11" xfId="0" applyNumberFormat="1" applyFont="1" applyFill="1" applyBorder="1"/>
    <xf numFmtId="10" fontId="26" fillId="0" borderId="0" xfId="42" applyNumberFormat="1" applyFont="1" applyFill="1"/>
    <xf numFmtId="41" fontId="27" fillId="25" borderId="18" xfId="0" applyNumberFormat="1" applyFont="1" applyFill="1" applyBorder="1"/>
    <xf numFmtId="164" fontId="27" fillId="25" borderId="14" xfId="42" applyNumberFormat="1" applyFont="1" applyFill="1" applyBorder="1" applyAlignment="1">
      <alignment horizontal="center"/>
    </xf>
    <xf numFmtId="5" fontId="28" fillId="0" borderId="42" xfId="0" applyNumberFormat="1" applyFont="1" applyFill="1" applyBorder="1"/>
    <xf numFmtId="5" fontId="28" fillId="0" borderId="58" xfId="0" applyNumberFormat="1" applyFont="1" applyFill="1" applyBorder="1"/>
    <xf numFmtId="5" fontId="28" fillId="0" borderId="59" xfId="0" applyNumberFormat="1" applyFont="1" applyFill="1" applyBorder="1"/>
    <xf numFmtId="5" fontId="28" fillId="0" borderId="44" xfId="0" applyNumberFormat="1" applyFont="1" applyFill="1" applyBorder="1"/>
    <xf numFmtId="164" fontId="28" fillId="0" borderId="45" xfId="42" applyNumberFormat="1" applyFont="1" applyFill="1" applyBorder="1" applyAlignment="1">
      <alignment horizontal="center"/>
    </xf>
    <xf numFmtId="5" fontId="28" fillId="0" borderId="23" xfId="0" applyNumberFormat="1" applyFont="1" applyFill="1" applyBorder="1"/>
    <xf numFmtId="5" fontId="28" fillId="0" borderId="10" xfId="0" applyNumberFormat="1" applyFont="1" applyFill="1" applyBorder="1"/>
    <xf numFmtId="164" fontId="28" fillId="0" borderId="13" xfId="42" applyNumberFormat="1" applyFont="1" applyFill="1" applyBorder="1" applyAlignment="1">
      <alignment horizontal="center"/>
    </xf>
    <xf numFmtId="5" fontId="28" fillId="0" borderId="26" xfId="0" applyNumberFormat="1" applyFont="1" applyFill="1" applyBorder="1"/>
    <xf numFmtId="9" fontId="27" fillId="0" borderId="32" xfId="0" applyNumberFormat="1" applyFont="1" applyFill="1" applyBorder="1"/>
    <xf numFmtId="165" fontId="27" fillId="0" borderId="18" xfId="28" applyNumberFormat="1" applyFont="1" applyFill="1" applyBorder="1"/>
    <xf numFmtId="10" fontId="27" fillId="0" borderId="39" xfId="42" applyNumberFormat="1" applyFont="1" applyFill="1" applyBorder="1" applyAlignment="1"/>
    <xf numFmtId="164" fontId="28" fillId="0" borderId="16" xfId="42" applyNumberFormat="1" applyFont="1" applyFill="1" applyBorder="1" applyAlignment="1">
      <alignment horizontal="center"/>
    </xf>
    <xf numFmtId="165" fontId="27" fillId="0" borderId="39" xfId="28" applyNumberFormat="1" applyFont="1" applyFill="1" applyBorder="1" applyAlignment="1"/>
    <xf numFmtId="10" fontId="26" fillId="0" borderId="0" xfId="42" applyNumberFormat="1" applyFont="1" applyFill="1" applyAlignment="1">
      <alignment horizontal="right"/>
    </xf>
    <xf numFmtId="0" fontId="26" fillId="0" borderId="0" xfId="0" applyFont="1" applyFill="1" applyAlignment="1">
      <alignment horizontal="right"/>
    </xf>
    <xf numFmtId="165" fontId="26" fillId="0" borderId="0" xfId="42" applyNumberFormat="1" applyFont="1" applyFill="1" applyAlignment="1">
      <alignment horizontal="right"/>
    </xf>
    <xf numFmtId="5" fontId="28" fillId="27" borderId="42" xfId="0" applyNumberFormat="1" applyFont="1" applyFill="1" applyBorder="1"/>
    <xf numFmtId="5" fontId="28" fillId="27" borderId="58" xfId="0" applyNumberFormat="1" applyFont="1" applyFill="1" applyBorder="1"/>
    <xf numFmtId="5" fontId="28" fillId="27" borderId="59" xfId="0" applyNumberFormat="1" applyFont="1" applyFill="1" applyBorder="1"/>
    <xf numFmtId="5" fontId="28" fillId="27" borderId="44" xfId="0" applyNumberFormat="1" applyFont="1" applyFill="1" applyBorder="1"/>
    <xf numFmtId="164" fontId="28" fillId="27" borderId="45" xfId="42" applyNumberFormat="1" applyFont="1" applyFill="1" applyBorder="1" applyAlignment="1">
      <alignment horizontal="center"/>
    </xf>
    <xf numFmtId="165" fontId="27" fillId="0" borderId="0" xfId="28" applyNumberFormat="1" applyFont="1" applyFill="1" applyBorder="1" applyAlignment="1"/>
    <xf numFmtId="0" fontId="31" fillId="0" borderId="0" xfId="0" applyFont="1" applyFill="1"/>
    <xf numFmtId="5" fontId="27" fillId="0" borderId="0" xfId="0" applyNumberFormat="1" applyFont="1" applyFill="1" applyBorder="1" applyAlignment="1"/>
    <xf numFmtId="165" fontId="27" fillId="0" borderId="0" xfId="0" applyNumberFormat="1" applyFont="1" applyFill="1" applyAlignment="1"/>
    <xf numFmtId="0" fontId="29" fillId="0" borderId="0" xfId="0" applyFont="1" applyAlignment="1">
      <alignment horizontal="center"/>
    </xf>
    <xf numFmtId="0" fontId="27" fillId="0" borderId="51" xfId="0" applyFont="1" applyBorder="1" applyAlignment="1">
      <alignment horizontal="center"/>
    </xf>
    <xf numFmtId="0" fontId="27" fillId="0" borderId="52" xfId="0" applyFont="1" applyBorder="1" applyAlignment="1">
      <alignment horizontal="center"/>
    </xf>
    <xf numFmtId="43" fontId="27" fillId="0" borderId="51" xfId="28" applyFont="1" applyBorder="1" applyAlignment="1">
      <alignment horizontal="center"/>
    </xf>
    <xf numFmtId="43" fontId="27" fillId="0" borderId="50" xfId="28" applyFont="1" applyBorder="1" applyAlignment="1">
      <alignment horizontal="center"/>
    </xf>
    <xf numFmtId="43" fontId="27" fillId="0" borderId="52" xfId="28" applyFont="1" applyBorder="1" applyAlignment="1">
      <alignment horizontal="center"/>
    </xf>
    <xf numFmtId="0" fontId="27" fillId="0" borderId="48" xfId="0" applyFont="1" applyBorder="1" applyAlignment="1">
      <alignment horizontal="center"/>
    </xf>
    <xf numFmtId="0" fontId="27" fillId="0" borderId="49" xfId="0" applyFont="1" applyBorder="1" applyAlignment="1">
      <alignment horizontal="center"/>
    </xf>
    <xf numFmtId="0" fontId="27" fillId="0" borderId="57" xfId="0" applyFont="1" applyBorder="1" applyAlignment="1">
      <alignment horizontal="center"/>
    </xf>
    <xf numFmtId="0" fontId="29" fillId="0" borderId="0" xfId="0" applyFont="1" applyFill="1" applyAlignment="1">
      <alignment horizontal="center"/>
    </xf>
    <xf numFmtId="0" fontId="27" fillId="0" borderId="51" xfId="0" applyFont="1" applyFill="1" applyBorder="1" applyAlignment="1">
      <alignment horizontal="center"/>
    </xf>
    <xf numFmtId="0" fontId="27" fillId="0" borderId="52" xfId="0" applyFont="1" applyFill="1" applyBorder="1" applyAlignment="1">
      <alignment horizontal="center"/>
    </xf>
    <xf numFmtId="43" fontId="27" fillId="0" borderId="51" xfId="28" applyFont="1" applyFill="1" applyBorder="1" applyAlignment="1">
      <alignment horizontal="center"/>
    </xf>
    <xf numFmtId="43" fontId="27" fillId="0" borderId="50" xfId="28" applyFont="1" applyFill="1" applyBorder="1" applyAlignment="1">
      <alignment horizontal="center"/>
    </xf>
    <xf numFmtId="43" fontId="27" fillId="0" borderId="53" xfId="28" applyFont="1" applyFill="1" applyBorder="1" applyAlignment="1">
      <alignment horizontal="center"/>
    </xf>
    <xf numFmtId="0" fontId="27" fillId="0" borderId="48" xfId="0" applyFont="1" applyFill="1" applyBorder="1" applyAlignment="1">
      <alignment horizontal="center"/>
    </xf>
    <xf numFmtId="0" fontId="27" fillId="0" borderId="49" xfId="0" applyFont="1" applyFill="1" applyBorder="1" applyAlignment="1">
      <alignment horizontal="center"/>
    </xf>
    <xf numFmtId="0" fontId="27" fillId="0" borderId="57" xfId="0" applyFont="1" applyFill="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view="pageBreakPreview" zoomScale="70" zoomScaleNormal="75" zoomScaleSheetLayoutView="70" workbookViewId="0">
      <pane xSplit="1" topLeftCell="B1" activePane="topRight" state="frozen"/>
      <selection pane="topRight" activeCell="G7" sqref="G7"/>
    </sheetView>
  </sheetViews>
  <sheetFormatPr defaultRowHeight="18" x14ac:dyDescent="0.35"/>
  <cols>
    <col min="1" max="1" width="35.42578125" style="42" customWidth="1"/>
    <col min="2" max="2" width="17.85546875" style="42" bestFit="1" customWidth="1"/>
    <col min="3" max="3" width="15.140625" style="42" bestFit="1" customWidth="1"/>
    <col min="4" max="4" width="17.85546875" style="42" bestFit="1" customWidth="1"/>
    <col min="5" max="5" width="15.28515625" style="42" bestFit="1" customWidth="1"/>
    <col min="6" max="6" width="17.42578125" style="42" bestFit="1" customWidth="1"/>
    <col min="7" max="7" width="14.42578125" style="42" bestFit="1" customWidth="1"/>
    <col min="8" max="8" width="17.140625" style="31" hidden="1" customWidth="1"/>
    <col min="9" max="9" width="14.5703125" style="42" customWidth="1"/>
    <col min="10" max="10" width="17.140625" style="42" customWidth="1"/>
    <col min="11" max="11" width="17.140625" style="42" bestFit="1" customWidth="1"/>
    <col min="12" max="12" width="16.140625" style="42" customWidth="1"/>
    <col min="13" max="13" width="17.85546875" style="42" bestFit="1" customWidth="1"/>
    <col min="14" max="14" width="16.28515625" style="42" bestFit="1" customWidth="1"/>
    <col min="15" max="15" width="13" style="42" customWidth="1"/>
    <col min="16" max="16" width="3.140625" style="31" customWidth="1"/>
    <col min="17" max="16384" width="9.140625" style="31"/>
  </cols>
  <sheetData>
    <row r="1" spans="1:16" s="42" customFormat="1" ht="22.5" x14ac:dyDescent="0.4">
      <c r="A1" s="271" t="s">
        <v>111</v>
      </c>
      <c r="B1" s="271"/>
      <c r="C1" s="271"/>
      <c r="D1" s="271"/>
      <c r="E1" s="271"/>
      <c r="F1" s="271"/>
      <c r="G1" s="271"/>
      <c r="H1" s="271"/>
      <c r="I1" s="271"/>
      <c r="J1" s="271"/>
      <c r="K1" s="271"/>
      <c r="L1" s="271"/>
      <c r="M1" s="271"/>
      <c r="N1" s="271"/>
      <c r="O1" s="271"/>
    </row>
    <row r="2" spans="1:16" s="42" customFormat="1" ht="18.75" thickBot="1" x14ac:dyDescent="0.4">
      <c r="J2" s="61"/>
      <c r="K2" s="61"/>
      <c r="L2" s="61"/>
      <c r="M2" s="61"/>
      <c r="N2" s="61"/>
      <c r="O2" s="61"/>
    </row>
    <row r="3" spans="1:16" s="42" customFormat="1" x14ac:dyDescent="0.35">
      <c r="A3" s="43"/>
      <c r="B3" s="81" t="s">
        <v>107</v>
      </c>
      <c r="C3" s="272" t="s">
        <v>112</v>
      </c>
      <c r="D3" s="273"/>
      <c r="E3" s="277" t="s">
        <v>113</v>
      </c>
      <c r="F3" s="278"/>
      <c r="G3" s="278"/>
      <c r="H3" s="278"/>
      <c r="I3" s="279"/>
      <c r="J3" s="104" t="s">
        <v>112</v>
      </c>
      <c r="K3" s="274" t="s">
        <v>112</v>
      </c>
      <c r="L3" s="275"/>
      <c r="M3" s="276"/>
      <c r="N3" s="105" t="s">
        <v>48</v>
      </c>
      <c r="O3" s="81" t="s">
        <v>15</v>
      </c>
    </row>
    <row r="4" spans="1:16" s="42" customFormat="1" x14ac:dyDescent="0.35">
      <c r="A4" s="44"/>
      <c r="B4" s="82" t="s">
        <v>15</v>
      </c>
      <c r="C4" s="99" t="s">
        <v>75</v>
      </c>
      <c r="D4" s="106" t="s">
        <v>63</v>
      </c>
      <c r="E4" s="119" t="s">
        <v>57</v>
      </c>
      <c r="F4" s="126" t="s">
        <v>45</v>
      </c>
      <c r="G4" s="126" t="s">
        <v>43</v>
      </c>
      <c r="H4" s="126" t="s">
        <v>68</v>
      </c>
      <c r="I4" s="127" t="s">
        <v>60</v>
      </c>
      <c r="J4" s="128" t="s">
        <v>14</v>
      </c>
      <c r="K4" s="129" t="s">
        <v>15</v>
      </c>
      <c r="L4" s="130" t="s">
        <v>14</v>
      </c>
      <c r="M4" s="131" t="s">
        <v>73</v>
      </c>
      <c r="N4" s="129" t="s">
        <v>15</v>
      </c>
      <c r="O4" s="132" t="s">
        <v>64</v>
      </c>
    </row>
    <row r="5" spans="1:16" s="42" customFormat="1" x14ac:dyDescent="0.35">
      <c r="A5" s="45" t="s">
        <v>0</v>
      </c>
      <c r="B5" s="83" t="s">
        <v>47</v>
      </c>
      <c r="C5" s="100" t="s">
        <v>58</v>
      </c>
      <c r="D5" s="83" t="s">
        <v>44</v>
      </c>
      <c r="E5" s="120" t="s">
        <v>58</v>
      </c>
      <c r="F5" s="133" t="s">
        <v>46</v>
      </c>
      <c r="G5" s="133" t="s">
        <v>46</v>
      </c>
      <c r="H5" s="134" t="s">
        <v>67</v>
      </c>
      <c r="I5" s="83" t="s">
        <v>15</v>
      </c>
      <c r="J5" s="135" t="s">
        <v>70</v>
      </c>
      <c r="K5" s="136" t="s">
        <v>47</v>
      </c>
      <c r="L5" s="134" t="s">
        <v>47</v>
      </c>
      <c r="M5" s="83" t="s">
        <v>47</v>
      </c>
      <c r="N5" s="136" t="s">
        <v>47</v>
      </c>
      <c r="O5" s="137" t="s">
        <v>65</v>
      </c>
    </row>
    <row r="6" spans="1:16" x14ac:dyDescent="0.35">
      <c r="A6" s="46" t="s">
        <v>115</v>
      </c>
      <c r="B6" s="84"/>
      <c r="C6" s="101"/>
      <c r="D6" s="84"/>
      <c r="E6" s="121"/>
      <c r="F6" s="138"/>
      <c r="G6" s="138"/>
      <c r="H6" s="32"/>
      <c r="I6" s="84"/>
      <c r="J6" s="145"/>
      <c r="K6" s="121"/>
      <c r="L6" s="138"/>
      <c r="M6" s="153"/>
      <c r="N6" s="154"/>
      <c r="O6" s="84"/>
    </row>
    <row r="7" spans="1:16" x14ac:dyDescent="0.35">
      <c r="A7" s="44" t="s">
        <v>1</v>
      </c>
      <c r="B7" s="85">
        <v>51097700</v>
      </c>
      <c r="C7" s="59">
        <v>2967400</v>
      </c>
      <c r="D7" s="85">
        <f>SUM(B7:C7)</f>
        <v>54065100</v>
      </c>
      <c r="E7" s="122">
        <v>1677800</v>
      </c>
      <c r="F7" s="139">
        <v>2007500</v>
      </c>
      <c r="G7" s="139">
        <f>130300+171400</f>
        <v>301700</v>
      </c>
      <c r="H7" s="32">
        <v>0</v>
      </c>
      <c r="I7" s="85">
        <v>0</v>
      </c>
      <c r="J7" s="146">
        <v>0</v>
      </c>
      <c r="K7" s="122">
        <f>SUM(B7:C7,E7:I7)</f>
        <v>58052100</v>
      </c>
      <c r="L7" s="139">
        <f>SUM(J7:J7)</f>
        <v>0</v>
      </c>
      <c r="M7" s="111">
        <f t="shared" ref="M7:M12" si="0">K7+L7</f>
        <v>58052100</v>
      </c>
      <c r="N7" s="122">
        <f t="shared" ref="N7:N12" si="1">K7-B7</f>
        <v>6954400</v>
      </c>
      <c r="O7" s="82">
        <f t="shared" ref="O7:O13" si="2">K7/B7-1</f>
        <v>0.13610005929816804</v>
      </c>
      <c r="P7" s="33"/>
    </row>
    <row r="8" spans="1:16" x14ac:dyDescent="0.35">
      <c r="A8" s="44" t="s">
        <v>2</v>
      </c>
      <c r="B8" s="86">
        <v>71656300</v>
      </c>
      <c r="C8" s="96">
        <v>502500</v>
      </c>
      <c r="D8" s="86">
        <f t="shared" ref="D8:D12" si="3">SUM(B8:C8)</f>
        <v>72158800</v>
      </c>
      <c r="E8" s="123">
        <v>2205200</v>
      </c>
      <c r="F8" s="140">
        <v>3136600</v>
      </c>
      <c r="G8" s="140">
        <f>242200+298400</f>
        <v>540600</v>
      </c>
      <c r="H8" s="34">
        <v>0</v>
      </c>
      <c r="I8" s="86">
        <v>0</v>
      </c>
      <c r="J8" s="147">
        <v>0</v>
      </c>
      <c r="K8" s="123">
        <f t="shared" ref="K8:K12" si="4">SUM(B8:C8,E8:I8)</f>
        <v>78041200</v>
      </c>
      <c r="L8" s="140">
        <f t="shared" ref="L8:L12" si="5">SUM(J8:J8)</f>
        <v>0</v>
      </c>
      <c r="M8" s="113">
        <f t="shared" si="0"/>
        <v>78041200</v>
      </c>
      <c r="N8" s="123">
        <f t="shared" si="1"/>
        <v>6384900</v>
      </c>
      <c r="O8" s="82">
        <f t="shared" si="2"/>
        <v>8.9104516978967707E-2</v>
      </c>
    </row>
    <row r="9" spans="1:16" x14ac:dyDescent="0.35">
      <c r="A9" s="44" t="s">
        <v>3</v>
      </c>
      <c r="B9" s="86">
        <v>106483000</v>
      </c>
      <c r="C9" s="96">
        <v>-2236300</v>
      </c>
      <c r="D9" s="86">
        <f t="shared" si="3"/>
        <v>104246700</v>
      </c>
      <c r="E9" s="108">
        <v>3235100</v>
      </c>
      <c r="F9" s="112">
        <v>4540500</v>
      </c>
      <c r="G9" s="112">
        <f>295800+378000</f>
        <v>673800</v>
      </c>
      <c r="H9" s="1">
        <v>0</v>
      </c>
      <c r="I9" s="113">
        <v>0</v>
      </c>
      <c r="J9" s="125">
        <f>2587600+1200000</f>
        <v>3787600</v>
      </c>
      <c r="K9" s="108">
        <f t="shared" si="4"/>
        <v>112696100</v>
      </c>
      <c r="L9" s="140">
        <f t="shared" si="5"/>
        <v>3787600</v>
      </c>
      <c r="M9" s="113">
        <f t="shared" si="0"/>
        <v>116483700</v>
      </c>
      <c r="N9" s="123">
        <f t="shared" si="1"/>
        <v>6213100</v>
      </c>
      <c r="O9" s="82">
        <f t="shared" si="2"/>
        <v>5.8348280946254327E-2</v>
      </c>
    </row>
    <row r="10" spans="1:16" x14ac:dyDescent="0.35">
      <c r="A10" s="44" t="s">
        <v>4</v>
      </c>
      <c r="B10" s="86">
        <v>41365200</v>
      </c>
      <c r="C10" s="96">
        <v>-1841700</v>
      </c>
      <c r="D10" s="86">
        <f t="shared" si="3"/>
        <v>39523500</v>
      </c>
      <c r="E10" s="108">
        <v>1226500</v>
      </c>
      <c r="F10" s="112">
        <v>2117000</v>
      </c>
      <c r="G10" s="112">
        <f>123200+162300</f>
        <v>285500</v>
      </c>
      <c r="H10" s="1">
        <v>0</v>
      </c>
      <c r="I10" s="113">
        <v>0</v>
      </c>
      <c r="J10" s="125">
        <v>0</v>
      </c>
      <c r="K10" s="108">
        <f t="shared" si="4"/>
        <v>43152500</v>
      </c>
      <c r="L10" s="140">
        <f t="shared" si="5"/>
        <v>0</v>
      </c>
      <c r="M10" s="113">
        <f t="shared" si="0"/>
        <v>43152500</v>
      </c>
      <c r="N10" s="123">
        <f t="shared" si="1"/>
        <v>1787300</v>
      </c>
      <c r="O10" s="82">
        <f t="shared" si="2"/>
        <v>4.3207817198998244E-2</v>
      </c>
    </row>
    <row r="11" spans="1:16" x14ac:dyDescent="0.35">
      <c r="A11" s="44" t="s">
        <v>5</v>
      </c>
      <c r="B11" s="86">
        <v>60428600</v>
      </c>
      <c r="C11" s="96">
        <v>-430900</v>
      </c>
      <c r="D11" s="86">
        <f t="shared" si="3"/>
        <v>59997700</v>
      </c>
      <c r="E11" s="108">
        <v>1768800</v>
      </c>
      <c r="F11" s="112">
        <v>2105200</v>
      </c>
      <c r="G11" s="112">
        <f>150600+193000</f>
        <v>343600</v>
      </c>
      <c r="H11" s="1">
        <v>0</v>
      </c>
      <c r="I11" s="113">
        <v>0</v>
      </c>
      <c r="J11" s="125">
        <v>0</v>
      </c>
      <c r="K11" s="108">
        <f t="shared" si="4"/>
        <v>64215300</v>
      </c>
      <c r="L11" s="140">
        <f t="shared" si="5"/>
        <v>0</v>
      </c>
      <c r="M11" s="113">
        <f t="shared" si="0"/>
        <v>64215300</v>
      </c>
      <c r="N11" s="123">
        <f t="shared" si="1"/>
        <v>3786700</v>
      </c>
      <c r="O11" s="82">
        <f t="shared" si="2"/>
        <v>6.2664036565467374E-2</v>
      </c>
    </row>
    <row r="12" spans="1:16" x14ac:dyDescent="0.35">
      <c r="A12" s="47" t="s">
        <v>55</v>
      </c>
      <c r="B12" s="87">
        <v>123734100</v>
      </c>
      <c r="C12" s="97">
        <v>-407700</v>
      </c>
      <c r="D12" s="87">
        <f t="shared" si="3"/>
        <v>123326400</v>
      </c>
      <c r="E12" s="109">
        <v>3827200</v>
      </c>
      <c r="F12" s="114">
        <v>5424800</v>
      </c>
      <c r="G12" s="114">
        <f>305900+394100</f>
        <v>700000</v>
      </c>
      <c r="H12" s="22">
        <v>0</v>
      </c>
      <c r="I12" s="115">
        <v>0</v>
      </c>
      <c r="J12" s="148">
        <v>0</v>
      </c>
      <c r="K12" s="109">
        <f t="shared" si="4"/>
        <v>133278400</v>
      </c>
      <c r="L12" s="155">
        <f t="shared" si="5"/>
        <v>0</v>
      </c>
      <c r="M12" s="115">
        <f t="shared" si="0"/>
        <v>133278400</v>
      </c>
      <c r="N12" s="156">
        <f t="shared" si="1"/>
        <v>9544300</v>
      </c>
      <c r="O12" s="83">
        <f t="shared" si="2"/>
        <v>7.7135567317336173E-2</v>
      </c>
    </row>
    <row r="13" spans="1:16" s="42" customFormat="1" x14ac:dyDescent="0.35">
      <c r="A13" s="48" t="s">
        <v>6</v>
      </c>
      <c r="B13" s="88">
        <f t="shared" ref="B13:N13" si="6">SUM(B7:B12)</f>
        <v>454764900</v>
      </c>
      <c r="C13" s="98">
        <f>SUM(C7:C12)</f>
        <v>-1446700</v>
      </c>
      <c r="D13" s="88">
        <f>SUM(D7:D12)</f>
        <v>453318200</v>
      </c>
      <c r="E13" s="118">
        <f t="shared" si="6"/>
        <v>13940600</v>
      </c>
      <c r="F13" s="116">
        <f t="shared" si="6"/>
        <v>19331600</v>
      </c>
      <c r="G13" s="116">
        <f t="shared" si="6"/>
        <v>2845200</v>
      </c>
      <c r="H13" s="116">
        <f>SUM(H7:H12)</f>
        <v>0</v>
      </c>
      <c r="I13" s="117">
        <f t="shared" si="6"/>
        <v>0</v>
      </c>
      <c r="J13" s="149">
        <f t="shared" si="6"/>
        <v>3787600</v>
      </c>
      <c r="K13" s="118">
        <f>SUM(K7:K12)</f>
        <v>489435600</v>
      </c>
      <c r="L13" s="157">
        <f t="shared" si="6"/>
        <v>3787600</v>
      </c>
      <c r="M13" s="117">
        <f t="shared" si="6"/>
        <v>493223200</v>
      </c>
      <c r="N13" s="158">
        <f t="shared" si="6"/>
        <v>34670700</v>
      </c>
      <c r="O13" s="159">
        <f t="shared" si="2"/>
        <v>7.6238733464258024E-2</v>
      </c>
    </row>
    <row r="14" spans="1:16" x14ac:dyDescent="0.35">
      <c r="A14" s="48"/>
      <c r="B14" s="88"/>
      <c r="C14" s="98"/>
      <c r="D14" s="88"/>
      <c r="E14" s="118"/>
      <c r="F14" s="116"/>
      <c r="G14" s="116"/>
      <c r="H14" s="13"/>
      <c r="I14" s="117"/>
      <c r="J14" s="149"/>
      <c r="K14" s="118"/>
      <c r="L14" s="157"/>
      <c r="M14" s="117"/>
      <c r="N14" s="158"/>
      <c r="O14" s="159"/>
    </row>
    <row r="15" spans="1:16" x14ac:dyDescent="0.35">
      <c r="A15" s="46" t="s">
        <v>8</v>
      </c>
      <c r="B15" s="89"/>
      <c r="C15" s="102"/>
      <c r="D15" s="89"/>
      <c r="E15" s="66"/>
      <c r="F15" s="141"/>
      <c r="G15" s="141"/>
      <c r="H15" s="14"/>
      <c r="I15" s="143"/>
      <c r="J15" s="150"/>
      <c r="K15" s="66"/>
      <c r="L15" s="160"/>
      <c r="M15" s="143"/>
      <c r="N15" s="161"/>
      <c r="O15" s="82"/>
    </row>
    <row r="16" spans="1:16" x14ac:dyDescent="0.35">
      <c r="A16" s="44" t="s">
        <v>9</v>
      </c>
      <c r="B16" s="85">
        <v>59510200</v>
      </c>
      <c r="C16" s="59">
        <v>-365300</v>
      </c>
      <c r="D16" s="85">
        <f t="shared" ref="D16:D18" si="7">SUM(B16:C16)</f>
        <v>59144900</v>
      </c>
      <c r="E16" s="107">
        <v>1835400</v>
      </c>
      <c r="F16" s="110">
        <v>2550000</v>
      </c>
      <c r="G16" s="110">
        <f>175300+226300</f>
        <v>401600</v>
      </c>
      <c r="H16" s="110">
        <v>0</v>
      </c>
      <c r="I16" s="111">
        <v>0</v>
      </c>
      <c r="J16" s="151">
        <v>0</v>
      </c>
      <c r="K16" s="107">
        <f>SUM(B16:C16,E16:I16)</f>
        <v>63931900</v>
      </c>
      <c r="L16" s="139">
        <f t="shared" ref="L16:L18" si="8">SUM(J16:J16)</f>
        <v>0</v>
      </c>
      <c r="M16" s="111">
        <f>K16+L16</f>
        <v>63931900</v>
      </c>
      <c r="N16" s="122">
        <f>K16-B16</f>
        <v>4421700</v>
      </c>
      <c r="O16" s="82">
        <f>K16/B16-1</f>
        <v>7.4301548306004772E-2</v>
      </c>
    </row>
    <row r="17" spans="1:15" x14ac:dyDescent="0.35">
      <c r="A17" s="44" t="s">
        <v>10</v>
      </c>
      <c r="B17" s="86">
        <v>247566300</v>
      </c>
      <c r="C17" s="96">
        <v>-521600</v>
      </c>
      <c r="D17" s="86">
        <f t="shared" si="7"/>
        <v>247044700</v>
      </c>
      <c r="E17" s="108">
        <v>7573400</v>
      </c>
      <c r="F17" s="112">
        <v>9249400</v>
      </c>
      <c r="G17" s="112">
        <f>544800+698400</f>
        <v>1243200</v>
      </c>
      <c r="H17" s="112">
        <v>0</v>
      </c>
      <c r="I17" s="113">
        <v>0</v>
      </c>
      <c r="J17" s="125">
        <v>0</v>
      </c>
      <c r="K17" s="108">
        <f>SUM(B17:C17,E17:I17)</f>
        <v>265110700</v>
      </c>
      <c r="L17" s="140">
        <f t="shared" si="8"/>
        <v>0</v>
      </c>
      <c r="M17" s="113">
        <f>K17+L17</f>
        <v>265110700</v>
      </c>
      <c r="N17" s="123">
        <f>K17-B17</f>
        <v>17544400</v>
      </c>
      <c r="O17" s="82">
        <f>K17/B17-1</f>
        <v>7.086748075162097E-2</v>
      </c>
    </row>
    <row r="18" spans="1:15" x14ac:dyDescent="0.35">
      <c r="A18" s="47" t="s">
        <v>11</v>
      </c>
      <c r="B18" s="87">
        <v>34665400</v>
      </c>
      <c r="C18" s="97">
        <v>-642900</v>
      </c>
      <c r="D18" s="87">
        <f t="shared" si="7"/>
        <v>34022500</v>
      </c>
      <c r="E18" s="109">
        <v>1036000</v>
      </c>
      <c r="F18" s="114">
        <v>1356200</v>
      </c>
      <c r="G18" s="114">
        <f>102600+135800</f>
        <v>238400</v>
      </c>
      <c r="H18" s="114">
        <v>0</v>
      </c>
      <c r="I18" s="115">
        <v>0</v>
      </c>
      <c r="J18" s="148">
        <v>0</v>
      </c>
      <c r="K18" s="109">
        <f>SUM(B18:C18,E18:I18)</f>
        <v>36653100</v>
      </c>
      <c r="L18" s="155">
        <f t="shared" si="8"/>
        <v>0</v>
      </c>
      <c r="M18" s="115">
        <f>K18+L18</f>
        <v>36653100</v>
      </c>
      <c r="N18" s="156">
        <f>K18-B18</f>
        <v>1987700</v>
      </c>
      <c r="O18" s="83">
        <f>K18/B18-1</f>
        <v>5.7339595100590168E-2</v>
      </c>
    </row>
    <row r="19" spans="1:15" s="42" customFormat="1" x14ac:dyDescent="0.35">
      <c r="A19" s="48" t="s">
        <v>6</v>
      </c>
      <c r="B19" s="88">
        <f t="shared" ref="B19:N19" si="9">SUM(B16:B18)</f>
        <v>341741900</v>
      </c>
      <c r="C19" s="98">
        <f>SUM(C16:C18)</f>
        <v>-1529800</v>
      </c>
      <c r="D19" s="88">
        <f>SUM(D16:D18)</f>
        <v>340212100</v>
      </c>
      <c r="E19" s="118">
        <f t="shared" si="9"/>
        <v>10444800</v>
      </c>
      <c r="F19" s="116">
        <f t="shared" si="9"/>
        <v>13155600</v>
      </c>
      <c r="G19" s="116">
        <f t="shared" si="9"/>
        <v>1883200</v>
      </c>
      <c r="H19" s="116">
        <f>SUM(H16:H18)</f>
        <v>0</v>
      </c>
      <c r="I19" s="117">
        <f t="shared" si="9"/>
        <v>0</v>
      </c>
      <c r="J19" s="149">
        <f t="shared" si="9"/>
        <v>0</v>
      </c>
      <c r="K19" s="118">
        <f>SUM(K16:K18)</f>
        <v>365695700</v>
      </c>
      <c r="L19" s="157">
        <f t="shared" si="9"/>
        <v>0</v>
      </c>
      <c r="M19" s="117">
        <f t="shared" si="9"/>
        <v>365695700</v>
      </c>
      <c r="N19" s="158">
        <f t="shared" si="9"/>
        <v>23953800</v>
      </c>
      <c r="O19" s="159">
        <f>K19/B19-1</f>
        <v>7.0093248735376035E-2</v>
      </c>
    </row>
    <row r="20" spans="1:15" x14ac:dyDescent="0.35">
      <c r="A20" s="49"/>
      <c r="B20" s="89"/>
      <c r="C20" s="102"/>
      <c r="D20" s="89"/>
      <c r="E20" s="66"/>
      <c r="F20" s="141"/>
      <c r="G20" s="141"/>
      <c r="H20" s="14"/>
      <c r="I20" s="143"/>
      <c r="J20" s="150"/>
      <c r="K20" s="66"/>
      <c r="L20" s="160"/>
      <c r="M20" s="143"/>
      <c r="N20" s="161"/>
      <c r="O20" s="82"/>
    </row>
    <row r="21" spans="1:15" x14ac:dyDescent="0.35">
      <c r="A21" s="46" t="s">
        <v>56</v>
      </c>
      <c r="B21" s="88">
        <v>296092700</v>
      </c>
      <c r="C21" s="98">
        <v>3733500</v>
      </c>
      <c r="D21" s="88">
        <f>SUM(B21:C21)</f>
        <v>299826200</v>
      </c>
      <c r="E21" s="118">
        <v>9304500</v>
      </c>
      <c r="F21" s="116">
        <v>10535900</v>
      </c>
      <c r="G21" s="116">
        <f>633900+806800</f>
        <v>1440700</v>
      </c>
      <c r="H21" s="13">
        <v>0</v>
      </c>
      <c r="I21" s="117">
        <v>0</v>
      </c>
      <c r="J21" s="149">
        <v>0</v>
      </c>
      <c r="K21" s="118">
        <f>SUM(B21:C21,E21:I21)</f>
        <v>321107300</v>
      </c>
      <c r="L21" s="157">
        <f>SUM(J21:J21)</f>
        <v>0</v>
      </c>
      <c r="M21" s="117">
        <f>K21+L21</f>
        <v>321107300</v>
      </c>
      <c r="N21" s="158">
        <f>K21-B21</f>
        <v>25014600</v>
      </c>
      <c r="O21" s="159">
        <f>K21/B21-1</f>
        <v>8.4482325974264194E-2</v>
      </c>
    </row>
    <row r="22" spans="1:15" x14ac:dyDescent="0.35">
      <c r="A22" s="48"/>
      <c r="B22" s="88"/>
      <c r="C22" s="98"/>
      <c r="D22" s="88"/>
      <c r="E22" s="118"/>
      <c r="F22" s="116"/>
      <c r="G22" s="116"/>
      <c r="H22" s="13"/>
      <c r="I22" s="117"/>
      <c r="J22" s="149"/>
      <c r="K22" s="118"/>
      <c r="L22" s="157"/>
      <c r="M22" s="117"/>
      <c r="N22" s="158"/>
      <c r="O22" s="159"/>
    </row>
    <row r="23" spans="1:15" s="42" customFormat="1" x14ac:dyDescent="0.35">
      <c r="A23" s="50" t="s">
        <v>12</v>
      </c>
      <c r="B23" s="88">
        <f t="shared" ref="B23:N23" si="10">B19+B21+B13</f>
        <v>1092599500</v>
      </c>
      <c r="C23" s="98">
        <f>C19+C21+C13</f>
        <v>757000</v>
      </c>
      <c r="D23" s="88">
        <f>D19+D21+D13</f>
        <v>1093356500</v>
      </c>
      <c r="E23" s="118">
        <f t="shared" si="10"/>
        <v>33689900</v>
      </c>
      <c r="F23" s="116">
        <f t="shared" si="10"/>
        <v>43023100</v>
      </c>
      <c r="G23" s="116">
        <f t="shared" si="10"/>
        <v>6169100</v>
      </c>
      <c r="H23" s="116">
        <f>H19+H21+H13</f>
        <v>0</v>
      </c>
      <c r="I23" s="117">
        <f t="shared" si="10"/>
        <v>0</v>
      </c>
      <c r="J23" s="149">
        <f t="shared" si="10"/>
        <v>3787600</v>
      </c>
      <c r="K23" s="118">
        <f>K19+K21+K13</f>
        <v>1176238600</v>
      </c>
      <c r="L23" s="157">
        <f>L19+L21+L13</f>
        <v>3787600</v>
      </c>
      <c r="M23" s="117">
        <f t="shared" si="10"/>
        <v>1180026200</v>
      </c>
      <c r="N23" s="158">
        <f t="shared" si="10"/>
        <v>83639100</v>
      </c>
      <c r="O23" s="159">
        <f>K23/B23-1</f>
        <v>7.6550556722751573E-2</v>
      </c>
    </row>
    <row r="24" spans="1:15" x14ac:dyDescent="0.35">
      <c r="A24" s="44"/>
      <c r="B24" s="89"/>
      <c r="C24" s="102"/>
      <c r="D24" s="89"/>
      <c r="E24" s="66"/>
      <c r="F24" s="141"/>
      <c r="G24" s="141"/>
      <c r="H24" s="14"/>
      <c r="I24" s="143"/>
      <c r="J24" s="150"/>
      <c r="K24" s="66"/>
      <c r="L24" s="160"/>
      <c r="M24" s="143"/>
      <c r="N24" s="161"/>
      <c r="O24" s="82"/>
    </row>
    <row r="25" spans="1:15" x14ac:dyDescent="0.35">
      <c r="A25" s="46" t="s">
        <v>74</v>
      </c>
      <c r="B25" s="88">
        <v>75622700</v>
      </c>
      <c r="C25" s="98">
        <v>-757000</v>
      </c>
      <c r="D25" s="88">
        <f>SUM(B25:C25)</f>
        <v>74865700</v>
      </c>
      <c r="E25" s="118">
        <v>2310100</v>
      </c>
      <c r="F25" s="116">
        <v>2377500</v>
      </c>
      <c r="G25" s="116">
        <f>131900+172400</f>
        <v>304300</v>
      </c>
      <c r="H25" s="13">
        <v>0</v>
      </c>
      <c r="I25" s="117">
        <v>0</v>
      </c>
      <c r="J25" s="149">
        <v>0</v>
      </c>
      <c r="K25" s="118">
        <f>SUM(B25:C25,E25:I25)</f>
        <v>79857600</v>
      </c>
      <c r="L25" s="157">
        <f>SUM(J25:J25)</f>
        <v>0</v>
      </c>
      <c r="M25" s="117">
        <f>K25+L25</f>
        <v>79857600</v>
      </c>
      <c r="N25" s="158">
        <f>K25-B25</f>
        <v>4234900</v>
      </c>
      <c r="O25" s="159">
        <f>K25/B25-1</f>
        <v>5.6000380838028718E-2</v>
      </c>
    </row>
    <row r="26" spans="1:15" x14ac:dyDescent="0.35">
      <c r="A26" s="44"/>
      <c r="B26" s="89"/>
      <c r="C26" s="102"/>
      <c r="D26" s="89"/>
      <c r="E26" s="66"/>
      <c r="F26" s="141"/>
      <c r="G26" s="141"/>
      <c r="H26" s="14"/>
      <c r="I26" s="143"/>
      <c r="J26" s="150"/>
      <c r="K26" s="66"/>
      <c r="L26" s="160"/>
      <c r="M26" s="143"/>
      <c r="N26" s="161"/>
      <c r="O26" s="82"/>
    </row>
    <row r="27" spans="1:15" s="42" customFormat="1" ht="18.75" thickBot="1" x14ac:dyDescent="0.4">
      <c r="A27" s="51" t="s">
        <v>13</v>
      </c>
      <c r="B27" s="90">
        <f t="shared" ref="B27:K27" si="11">B23+B25</f>
        <v>1168222200</v>
      </c>
      <c r="C27" s="103">
        <f t="shared" si="11"/>
        <v>0</v>
      </c>
      <c r="D27" s="90">
        <f>D23+D25</f>
        <v>1168222200</v>
      </c>
      <c r="E27" s="124">
        <f t="shared" si="11"/>
        <v>36000000</v>
      </c>
      <c r="F27" s="142">
        <f t="shared" si="11"/>
        <v>45400600</v>
      </c>
      <c r="G27" s="142">
        <f t="shared" si="11"/>
        <v>6473400</v>
      </c>
      <c r="H27" s="142">
        <f>H23+H25</f>
        <v>0</v>
      </c>
      <c r="I27" s="144">
        <f t="shared" si="11"/>
        <v>0</v>
      </c>
      <c r="J27" s="152">
        <f>J23+J25</f>
        <v>3787600</v>
      </c>
      <c r="K27" s="124">
        <f t="shared" si="11"/>
        <v>1256096200</v>
      </c>
      <c r="L27" s="162">
        <f>L23+L25</f>
        <v>3787600</v>
      </c>
      <c r="M27" s="144">
        <f>M23+M25</f>
        <v>1259883800</v>
      </c>
      <c r="N27" s="163">
        <f>N23+N25</f>
        <v>87874000</v>
      </c>
      <c r="O27" s="164">
        <f>K27/B27-1</f>
        <v>7.5220279155797654E-2</v>
      </c>
    </row>
    <row r="28" spans="1:15" x14ac:dyDescent="0.35">
      <c r="A28" s="52"/>
      <c r="B28" s="91"/>
      <c r="C28" s="91"/>
      <c r="D28" s="91"/>
      <c r="E28" s="91"/>
      <c r="F28" s="91"/>
      <c r="G28" s="91"/>
      <c r="H28" s="35"/>
      <c r="I28" s="91"/>
      <c r="J28" s="91"/>
      <c r="K28" s="91"/>
      <c r="L28" s="91"/>
      <c r="M28" s="91"/>
      <c r="N28" s="91"/>
      <c r="O28" s="165"/>
    </row>
    <row r="29" spans="1:15" x14ac:dyDescent="0.35">
      <c r="A29" s="53"/>
      <c r="B29" s="53"/>
      <c r="C29" s="53"/>
      <c r="D29" s="53"/>
      <c r="E29" s="53"/>
      <c r="F29" s="53"/>
      <c r="G29" s="92"/>
      <c r="H29" s="36"/>
      <c r="I29" s="53"/>
      <c r="J29" s="53"/>
      <c r="K29" s="53"/>
      <c r="L29" s="53"/>
      <c r="M29" s="53"/>
      <c r="N29" s="53"/>
      <c r="O29" s="53"/>
    </row>
    <row r="30" spans="1:15" x14ac:dyDescent="0.35">
      <c r="A30" s="53"/>
      <c r="B30" s="92"/>
      <c r="C30" s="92"/>
      <c r="D30" s="92"/>
      <c r="E30" s="92"/>
      <c r="F30" s="92"/>
      <c r="G30" s="92"/>
      <c r="H30" s="37"/>
      <c r="I30" s="92"/>
      <c r="J30" s="92"/>
      <c r="K30" s="92"/>
      <c r="L30" s="92"/>
      <c r="M30" s="92"/>
      <c r="N30" s="92"/>
      <c r="O30" s="53"/>
    </row>
    <row r="31" spans="1:15" x14ac:dyDescent="0.35">
      <c r="A31" s="53"/>
      <c r="B31" s="92"/>
      <c r="C31" s="92"/>
      <c r="D31" s="92"/>
      <c r="E31" s="92"/>
      <c r="F31" s="92"/>
      <c r="G31" s="92"/>
      <c r="H31" s="37"/>
      <c r="I31" s="92"/>
      <c r="J31" s="92"/>
      <c r="K31" s="92"/>
      <c r="L31" s="92"/>
      <c r="M31" s="92"/>
      <c r="N31" s="92"/>
      <c r="O31" s="53"/>
    </row>
    <row r="32" spans="1:15" x14ac:dyDescent="0.35">
      <c r="A32" s="54" t="s">
        <v>61</v>
      </c>
      <c r="B32" s="93">
        <f t="shared" ref="B32:F32" si="12">SUM(B16:B18)</f>
        <v>341741900</v>
      </c>
      <c r="C32" s="93">
        <f t="shared" si="12"/>
        <v>-1529800</v>
      </c>
      <c r="D32" s="93">
        <f>SUM(D16:D18)</f>
        <v>340212100</v>
      </c>
      <c r="E32" s="93">
        <f t="shared" si="12"/>
        <v>10444800</v>
      </c>
      <c r="F32" s="93">
        <f t="shared" si="12"/>
        <v>13155600</v>
      </c>
      <c r="G32" s="93">
        <f>SUM(G16:G18)</f>
        <v>1883200</v>
      </c>
      <c r="H32" s="38">
        <f>SUM(H16:H18)</f>
        <v>0</v>
      </c>
      <c r="I32" s="93">
        <f t="shared" ref="I32:N32" si="13">SUM(I16:I18)</f>
        <v>0</v>
      </c>
      <c r="J32" s="93">
        <f t="shared" si="13"/>
        <v>0</v>
      </c>
      <c r="K32" s="93">
        <f t="shared" si="13"/>
        <v>365695700</v>
      </c>
      <c r="L32" s="93">
        <f t="shared" si="13"/>
        <v>0</v>
      </c>
      <c r="M32" s="93">
        <f t="shared" si="13"/>
        <v>365695700</v>
      </c>
      <c r="N32" s="166">
        <f t="shared" si="13"/>
        <v>23953800</v>
      </c>
      <c r="O32" s="58"/>
    </row>
    <row r="33" spans="1:15" x14ac:dyDescent="0.35">
      <c r="A33" s="55" t="s">
        <v>94</v>
      </c>
      <c r="B33" s="94">
        <f>B13</f>
        <v>454764900</v>
      </c>
      <c r="C33" s="94">
        <f t="shared" ref="C33:N33" si="14">C13</f>
        <v>-1446700</v>
      </c>
      <c r="D33" s="94">
        <f t="shared" si="14"/>
        <v>453318200</v>
      </c>
      <c r="E33" s="94">
        <f t="shared" si="14"/>
        <v>13940600</v>
      </c>
      <c r="F33" s="94">
        <f t="shared" si="14"/>
        <v>19331600</v>
      </c>
      <c r="G33" s="94">
        <f t="shared" si="14"/>
        <v>2845200</v>
      </c>
      <c r="H33" s="40">
        <f t="shared" si="14"/>
        <v>0</v>
      </c>
      <c r="I33" s="94">
        <f t="shared" si="14"/>
        <v>0</v>
      </c>
      <c r="J33" s="94">
        <f t="shared" si="14"/>
        <v>3787600</v>
      </c>
      <c r="K33" s="94">
        <f t="shared" si="14"/>
        <v>489435600</v>
      </c>
      <c r="L33" s="94">
        <f t="shared" si="14"/>
        <v>3787600</v>
      </c>
      <c r="M33" s="94">
        <f t="shared" si="14"/>
        <v>493223200</v>
      </c>
      <c r="N33" s="167">
        <f t="shared" si="14"/>
        <v>34670700</v>
      </c>
      <c r="O33" s="58"/>
    </row>
    <row r="34" spans="1:15" x14ac:dyDescent="0.35">
      <c r="A34" s="56" t="s">
        <v>62</v>
      </c>
      <c r="B34" s="95">
        <f>SUM(B21,B25)</f>
        <v>371715400</v>
      </c>
      <c r="C34" s="95">
        <f t="shared" ref="C34:N34" si="15">SUM(C21,C25)</f>
        <v>2976500</v>
      </c>
      <c r="D34" s="95">
        <f t="shared" si="15"/>
        <v>374691900</v>
      </c>
      <c r="E34" s="95">
        <f t="shared" si="15"/>
        <v>11614600</v>
      </c>
      <c r="F34" s="95">
        <f t="shared" si="15"/>
        <v>12913400</v>
      </c>
      <c r="G34" s="95">
        <f t="shared" si="15"/>
        <v>1745000</v>
      </c>
      <c r="H34" s="41">
        <f t="shared" si="15"/>
        <v>0</v>
      </c>
      <c r="I34" s="95">
        <f t="shared" si="15"/>
        <v>0</v>
      </c>
      <c r="J34" s="95">
        <f t="shared" si="15"/>
        <v>0</v>
      </c>
      <c r="K34" s="95">
        <f t="shared" si="15"/>
        <v>400964900</v>
      </c>
      <c r="L34" s="95">
        <f t="shared" si="15"/>
        <v>0</v>
      </c>
      <c r="M34" s="95">
        <f t="shared" si="15"/>
        <v>400964900</v>
      </c>
      <c r="N34" s="168">
        <f t="shared" si="15"/>
        <v>29249500</v>
      </c>
      <c r="O34" s="58"/>
    </row>
    <row r="35" spans="1:15" x14ac:dyDescent="0.35">
      <c r="A35" s="57"/>
      <c r="B35" s="94">
        <f>B34+B33+B32-B27</f>
        <v>0</v>
      </c>
      <c r="C35" s="94">
        <f t="shared" ref="C35:N35" si="16">C34+C33+C32-C27</f>
        <v>0</v>
      </c>
      <c r="D35" s="94">
        <f t="shared" si="16"/>
        <v>0</v>
      </c>
      <c r="E35" s="94">
        <f t="shared" si="16"/>
        <v>0</v>
      </c>
      <c r="F35" s="94">
        <f t="shared" si="16"/>
        <v>0</v>
      </c>
      <c r="G35" s="94">
        <f t="shared" si="16"/>
        <v>0</v>
      </c>
      <c r="H35" s="40">
        <f t="shared" si="16"/>
        <v>0</v>
      </c>
      <c r="I35" s="94">
        <f t="shared" si="16"/>
        <v>0</v>
      </c>
      <c r="J35" s="94">
        <f t="shared" si="16"/>
        <v>0</v>
      </c>
      <c r="K35" s="94">
        <f t="shared" si="16"/>
        <v>0</v>
      </c>
      <c r="L35" s="94">
        <f t="shared" si="16"/>
        <v>0</v>
      </c>
      <c r="M35" s="94">
        <f t="shared" si="16"/>
        <v>0</v>
      </c>
      <c r="N35" s="94">
        <f t="shared" si="16"/>
        <v>0</v>
      </c>
      <c r="O35" s="58"/>
    </row>
    <row r="36" spans="1:15" x14ac:dyDescent="0.35">
      <c r="A36" s="57"/>
      <c r="B36" s="94"/>
      <c r="C36" s="94"/>
      <c r="D36" s="94"/>
      <c r="E36" s="94"/>
      <c r="F36" s="94"/>
      <c r="G36" s="94"/>
      <c r="H36" s="40"/>
      <c r="I36" s="94"/>
      <c r="J36" s="94"/>
      <c r="K36" s="94"/>
      <c r="L36" s="94"/>
      <c r="M36" s="94"/>
      <c r="N36" s="94"/>
      <c r="O36" s="58"/>
    </row>
    <row r="37" spans="1:15" x14ac:dyDescent="0.35">
      <c r="A37" s="58"/>
      <c r="B37" s="58"/>
      <c r="C37" s="58"/>
      <c r="D37" s="58"/>
      <c r="E37" s="58"/>
      <c r="F37" s="58"/>
      <c r="G37" s="58"/>
      <c r="H37" s="39"/>
      <c r="I37" s="58"/>
      <c r="J37" s="58"/>
      <c r="K37" s="58"/>
      <c r="L37" s="58"/>
      <c r="M37" s="58"/>
      <c r="N37" s="58"/>
      <c r="O37" s="58"/>
    </row>
    <row r="38" spans="1:15" x14ac:dyDescent="0.35">
      <c r="A38" s="58"/>
      <c r="B38" s="58"/>
      <c r="C38" s="58"/>
      <c r="D38" s="58"/>
      <c r="E38" s="58"/>
      <c r="F38" s="58"/>
      <c r="G38" s="58"/>
      <c r="H38" s="39"/>
      <c r="I38" s="58"/>
      <c r="J38" s="58"/>
      <c r="K38" s="58"/>
      <c r="L38" s="58"/>
      <c r="M38" s="58"/>
      <c r="N38" s="58"/>
      <c r="O38" s="58"/>
    </row>
    <row r="39" spans="1:15" x14ac:dyDescent="0.35">
      <c r="A39" s="58"/>
      <c r="B39" s="58"/>
      <c r="C39" s="58"/>
      <c r="D39" s="58"/>
      <c r="E39" s="58"/>
      <c r="F39" s="58"/>
      <c r="G39" s="58"/>
      <c r="H39" s="39"/>
      <c r="I39" s="58"/>
      <c r="J39" s="58"/>
      <c r="K39" s="58"/>
      <c r="L39" s="58"/>
      <c r="M39" s="58"/>
      <c r="N39" s="58"/>
      <c r="O39" s="58"/>
    </row>
    <row r="40" spans="1:15" x14ac:dyDescent="0.35">
      <c r="A40" s="58"/>
      <c r="B40" s="58"/>
      <c r="C40" s="58"/>
      <c r="D40" s="58"/>
      <c r="E40" s="58"/>
      <c r="F40" s="58"/>
      <c r="G40" s="58"/>
      <c r="H40" s="39"/>
      <c r="I40" s="58"/>
      <c r="J40" s="58"/>
      <c r="K40" s="58"/>
      <c r="L40" s="58"/>
      <c r="M40" s="58"/>
      <c r="N40" s="58"/>
      <c r="O40" s="58"/>
    </row>
    <row r="41" spans="1:15" x14ac:dyDescent="0.35">
      <c r="A41" s="58"/>
      <c r="B41" s="58"/>
      <c r="C41" s="58"/>
      <c r="D41" s="58"/>
      <c r="E41" s="58"/>
      <c r="F41" s="58"/>
      <c r="G41" s="58"/>
      <c r="H41" s="39"/>
      <c r="I41" s="58"/>
      <c r="J41" s="58"/>
      <c r="K41" s="58"/>
      <c r="L41" s="58"/>
      <c r="M41" s="58"/>
      <c r="N41" s="58"/>
      <c r="O41" s="58"/>
    </row>
    <row r="42" spans="1:15" x14ac:dyDescent="0.35">
      <c r="A42" s="58"/>
      <c r="B42" s="58"/>
      <c r="C42" s="58"/>
      <c r="D42" s="58"/>
      <c r="E42" s="58"/>
      <c r="F42" s="58"/>
      <c r="G42" s="58"/>
      <c r="H42" s="39"/>
      <c r="I42" s="58"/>
      <c r="J42" s="58"/>
      <c r="K42" s="58"/>
      <c r="L42" s="58"/>
      <c r="M42" s="58"/>
      <c r="N42" s="58"/>
      <c r="O42" s="58"/>
    </row>
  </sheetData>
  <mergeCells count="4">
    <mergeCell ref="A1:O1"/>
    <mergeCell ref="C3:D3"/>
    <mergeCell ref="K3:M3"/>
    <mergeCell ref="E3:I3"/>
  </mergeCells>
  <phoneticPr fontId="20" type="noConversion"/>
  <printOptions horizontalCentered="1"/>
  <pageMargins left="0.25" right="0.25" top="0.75" bottom="0.75" header="0.3" footer="0.3"/>
  <pageSetup paperSize="17" scale="87" orientation="landscape" r:id="rId1"/>
  <headerFooter alignWithMargins="0"/>
  <ignoredErrors>
    <ignoredError sqref="K7:K12 K16:K18 K21:K25"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4"/>
  <sheetViews>
    <sheetView view="pageBreakPreview" zoomScale="70" zoomScaleNormal="75" zoomScaleSheetLayoutView="70" workbookViewId="0">
      <pane xSplit="1" ySplit="5" topLeftCell="B6" activePane="bottomRight" state="frozen"/>
      <selection pane="topRight" activeCell="B1" sqref="B1"/>
      <selection pane="bottomLeft" activeCell="A6" sqref="A6"/>
      <selection pane="bottomRight" activeCell="R1" sqref="R1:Z1048576"/>
    </sheetView>
  </sheetViews>
  <sheetFormatPr defaultRowHeight="18" x14ac:dyDescent="0.35"/>
  <cols>
    <col min="1" max="1" width="68.140625" style="60" customWidth="1"/>
    <col min="2" max="2" width="22.140625" style="60" bestFit="1" customWidth="1"/>
    <col min="3" max="3" width="15.7109375" style="2" bestFit="1" customWidth="1"/>
    <col min="4" max="4" width="17.85546875" style="60" bestFit="1" customWidth="1"/>
    <col min="5" max="5" width="18.140625" style="60" bestFit="1" customWidth="1"/>
    <col min="6" max="6" width="18.140625" style="2" bestFit="1" customWidth="1"/>
    <col min="7" max="7" width="16.7109375" style="2" bestFit="1" customWidth="1"/>
    <col min="8" max="8" width="16.42578125" style="2" hidden="1" customWidth="1"/>
    <col min="9" max="9" width="17" style="2" customWidth="1"/>
    <col min="10" max="10" width="18.42578125" style="2" bestFit="1" customWidth="1"/>
    <col min="11" max="11" width="21.85546875" style="2" bestFit="1" customWidth="1"/>
    <col min="12" max="12" width="18.42578125" style="2" bestFit="1" customWidth="1"/>
    <col min="13" max="13" width="22.140625" style="2" bestFit="1" customWidth="1"/>
    <col min="14" max="14" width="18.42578125" style="2" bestFit="1" customWidth="1"/>
    <col min="15" max="15" width="16.7109375" style="2" bestFit="1" customWidth="1"/>
    <col min="16" max="16" width="22.7109375" style="60" bestFit="1" customWidth="1"/>
    <col min="17" max="17" width="4.140625" style="60" customWidth="1"/>
    <col min="18" max="21" width="9.140625" style="2"/>
    <col min="22" max="22" width="36.42578125" style="2" bestFit="1" customWidth="1"/>
    <col min="23" max="16384" width="9.140625" style="2"/>
  </cols>
  <sheetData>
    <row r="1" spans="1:17" s="60" customFormat="1" ht="22.5" x14ac:dyDescent="0.4">
      <c r="A1" s="280" t="str">
        <f>'2021-22 Form Distr'!A1:O1</f>
        <v>2021-22 Governor's Budget Recommendation</v>
      </c>
      <c r="B1" s="280"/>
      <c r="C1" s="280"/>
      <c r="D1" s="280"/>
      <c r="E1" s="280"/>
      <c r="F1" s="280"/>
      <c r="G1" s="280"/>
      <c r="H1" s="280"/>
      <c r="I1" s="280"/>
      <c r="J1" s="280"/>
      <c r="K1" s="280"/>
      <c r="L1" s="280"/>
      <c r="M1" s="280"/>
      <c r="N1" s="280"/>
      <c r="O1" s="280"/>
    </row>
    <row r="2" spans="1:17" s="60" customFormat="1" ht="18.75" thickBot="1" x14ac:dyDescent="0.4">
      <c r="G2" s="79"/>
      <c r="K2" s="80"/>
      <c r="L2" s="80"/>
      <c r="M2" s="80"/>
      <c r="N2" s="80"/>
      <c r="O2" s="80"/>
    </row>
    <row r="3" spans="1:17" s="60" customFormat="1" x14ac:dyDescent="0.35">
      <c r="A3" s="62"/>
      <c r="B3" s="169" t="str">
        <f>'2021-22 Form Distr'!B3</f>
        <v>2020-21</v>
      </c>
      <c r="C3" s="281" t="s">
        <v>112</v>
      </c>
      <c r="D3" s="282"/>
      <c r="E3" s="286" t="s">
        <v>113</v>
      </c>
      <c r="F3" s="287"/>
      <c r="G3" s="287"/>
      <c r="H3" s="287"/>
      <c r="I3" s="288"/>
      <c r="J3" s="192" t="s">
        <v>112</v>
      </c>
      <c r="K3" s="283" t="s">
        <v>112</v>
      </c>
      <c r="L3" s="284"/>
      <c r="M3" s="285"/>
      <c r="N3" s="193" t="s">
        <v>48</v>
      </c>
      <c r="O3" s="194"/>
    </row>
    <row r="4" spans="1:17" s="60" customFormat="1" x14ac:dyDescent="0.35">
      <c r="A4" s="63"/>
      <c r="B4" s="170" t="s">
        <v>15</v>
      </c>
      <c r="C4" s="195" t="s">
        <v>78</v>
      </c>
      <c r="D4" s="196" t="s">
        <v>63</v>
      </c>
      <c r="E4" s="197" t="s">
        <v>57</v>
      </c>
      <c r="F4" s="198" t="s">
        <v>45</v>
      </c>
      <c r="G4" s="198" t="s">
        <v>43</v>
      </c>
      <c r="H4" s="199" t="s">
        <v>72</v>
      </c>
      <c r="I4" s="196" t="s">
        <v>60</v>
      </c>
      <c r="J4" s="200" t="s">
        <v>14</v>
      </c>
      <c r="K4" s="201" t="s">
        <v>15</v>
      </c>
      <c r="L4" s="202" t="s">
        <v>14</v>
      </c>
      <c r="M4" s="202" t="s">
        <v>73</v>
      </c>
      <c r="N4" s="202" t="s">
        <v>15</v>
      </c>
      <c r="O4" s="203" t="s">
        <v>15</v>
      </c>
    </row>
    <row r="5" spans="1:17" s="60" customFormat="1" x14ac:dyDescent="0.35">
      <c r="A5" s="64" t="s">
        <v>17</v>
      </c>
      <c r="B5" s="171" t="s">
        <v>47</v>
      </c>
      <c r="C5" s="204" t="s">
        <v>77</v>
      </c>
      <c r="D5" s="205" t="s">
        <v>44</v>
      </c>
      <c r="E5" s="206" t="s">
        <v>58</v>
      </c>
      <c r="F5" s="207" t="s">
        <v>46</v>
      </c>
      <c r="G5" s="207" t="s">
        <v>46</v>
      </c>
      <c r="H5" s="208" t="s">
        <v>67</v>
      </c>
      <c r="I5" s="205" t="s">
        <v>15</v>
      </c>
      <c r="J5" s="209" t="s">
        <v>70</v>
      </c>
      <c r="K5" s="204" t="s">
        <v>47</v>
      </c>
      <c r="L5" s="208" t="s">
        <v>47</v>
      </c>
      <c r="M5" s="208" t="s">
        <v>47</v>
      </c>
      <c r="N5" s="208" t="s">
        <v>47</v>
      </c>
      <c r="O5" s="210" t="s">
        <v>16</v>
      </c>
    </row>
    <row r="6" spans="1:17" x14ac:dyDescent="0.35">
      <c r="A6" s="65" t="s">
        <v>18</v>
      </c>
      <c r="B6" s="172"/>
      <c r="C6" s="5"/>
      <c r="D6" s="225"/>
      <c r="E6" s="254"/>
      <c r="F6" s="7"/>
      <c r="G6" s="7"/>
      <c r="H6" s="8"/>
      <c r="I6" s="6"/>
      <c r="J6" s="9"/>
      <c r="K6" s="10"/>
      <c r="L6" s="10"/>
      <c r="M6" s="10"/>
      <c r="N6" s="10"/>
      <c r="O6" s="11"/>
    </row>
    <row r="7" spans="1:17" s="60" customFormat="1" x14ac:dyDescent="0.35">
      <c r="A7" s="63" t="s">
        <v>19</v>
      </c>
      <c r="B7" s="172">
        <v>36717300</v>
      </c>
      <c r="C7" s="211">
        <v>0</v>
      </c>
      <c r="D7" s="111">
        <f>SUM(B7:C7)</f>
        <v>36717300</v>
      </c>
      <c r="E7" s="211">
        <v>1732000</v>
      </c>
      <c r="F7" s="110">
        <v>2060800</v>
      </c>
      <c r="G7" s="110">
        <f>49500+62800</f>
        <v>112300</v>
      </c>
      <c r="H7" s="110">
        <v>0</v>
      </c>
      <c r="I7" s="111">
        <v>0</v>
      </c>
      <c r="J7" s="111">
        <v>0</v>
      </c>
      <c r="K7" s="110">
        <f>SUM(D7,E7:I7)</f>
        <v>40622400</v>
      </c>
      <c r="L7" s="110">
        <f>SUM(J7:J7)</f>
        <v>0</v>
      </c>
      <c r="M7" s="110">
        <f>K7+L7</f>
        <v>40622400</v>
      </c>
      <c r="N7" s="110">
        <f>K7-B7</f>
        <v>3905100</v>
      </c>
      <c r="O7" s="217">
        <f>(K7-B7)/B7</f>
        <v>0.106355859499473</v>
      </c>
      <c r="P7" s="242"/>
      <c r="Q7" s="79"/>
    </row>
    <row r="8" spans="1:17" s="60" customFormat="1" x14ac:dyDescent="0.35">
      <c r="A8" s="63" t="s">
        <v>20</v>
      </c>
      <c r="B8" s="173">
        <v>7835800</v>
      </c>
      <c r="C8" s="214">
        <v>0</v>
      </c>
      <c r="D8" s="215">
        <f t="shared" ref="D8" si="0">SUM(B8:C8)</f>
        <v>7835800</v>
      </c>
      <c r="E8" s="214">
        <v>109700</v>
      </c>
      <c r="F8" s="216">
        <v>619300</v>
      </c>
      <c r="G8" s="216">
        <f>9000+11200</f>
        <v>20200</v>
      </c>
      <c r="H8" s="216">
        <v>0</v>
      </c>
      <c r="I8" s="215">
        <v>0</v>
      </c>
      <c r="J8" s="215">
        <v>0</v>
      </c>
      <c r="K8" s="216">
        <f>SUM(D8,E8:I8)</f>
        <v>8585000</v>
      </c>
      <c r="L8" s="216">
        <f t="shared" ref="L8:L10" si="1">SUM(J8:J8)</f>
        <v>0</v>
      </c>
      <c r="M8" s="216">
        <f t="shared" ref="M8" si="2">K8+L8</f>
        <v>8585000</v>
      </c>
      <c r="N8" s="216">
        <f>K8-B8</f>
        <v>749200</v>
      </c>
      <c r="O8" s="217">
        <f>(K8-B8)/B8</f>
        <v>9.5612445442711663E-2</v>
      </c>
    </row>
    <row r="9" spans="1:17" s="60" customFormat="1" x14ac:dyDescent="0.35">
      <c r="A9" s="66" t="s">
        <v>51</v>
      </c>
      <c r="B9" s="173">
        <v>22280200</v>
      </c>
      <c r="C9" s="214">
        <v>0</v>
      </c>
      <c r="D9" s="215">
        <f>SUM(B9:C9)</f>
        <v>22280200</v>
      </c>
      <c r="E9" s="214">
        <v>311900</v>
      </c>
      <c r="F9" s="216">
        <v>1382100</v>
      </c>
      <c r="G9" s="216">
        <f>52100+69900</f>
        <v>122000</v>
      </c>
      <c r="H9" s="216">
        <v>0</v>
      </c>
      <c r="I9" s="215">
        <v>0</v>
      </c>
      <c r="J9" s="215">
        <v>0</v>
      </c>
      <c r="K9" s="216">
        <f>SUM(D9,E9:I9)</f>
        <v>24096200</v>
      </c>
      <c r="L9" s="216">
        <f>SUM(J9:J9)</f>
        <v>0</v>
      </c>
      <c r="M9" s="216">
        <f>K9+L9</f>
        <v>24096200</v>
      </c>
      <c r="N9" s="216">
        <f>K9-B9</f>
        <v>1816000</v>
      </c>
      <c r="O9" s="217">
        <f>(K9-B9)/B9</f>
        <v>8.1507347330813912E-2</v>
      </c>
    </row>
    <row r="10" spans="1:17" s="60" customFormat="1" x14ac:dyDescent="0.35">
      <c r="A10" s="64" t="s">
        <v>84</v>
      </c>
      <c r="B10" s="173">
        <v>162748000</v>
      </c>
      <c r="C10" s="214">
        <f>59576300-10929900-48646400</f>
        <v>0</v>
      </c>
      <c r="D10" s="215">
        <f>SUM(B10:C10)</f>
        <v>162748000</v>
      </c>
      <c r="E10" s="214">
        <v>5169200</v>
      </c>
      <c r="F10" s="216">
        <v>8263700</v>
      </c>
      <c r="G10" s="216">
        <f>391700+508000</f>
        <v>899700</v>
      </c>
      <c r="H10" s="216">
        <v>0</v>
      </c>
      <c r="I10" s="215">
        <v>0</v>
      </c>
      <c r="J10" s="215">
        <v>0</v>
      </c>
      <c r="K10" s="216">
        <f>SUM(D10,E10:I10)</f>
        <v>177080600</v>
      </c>
      <c r="L10" s="216">
        <f t="shared" si="1"/>
        <v>0</v>
      </c>
      <c r="M10" s="216">
        <f>K10+L10</f>
        <v>177080600</v>
      </c>
      <c r="N10" s="216">
        <f>K10-B10</f>
        <v>14332600</v>
      </c>
      <c r="O10" s="217">
        <f>(K10-B10)/B10</f>
        <v>8.8066212795241725E-2</v>
      </c>
    </row>
    <row r="11" spans="1:17" s="60" customFormat="1" x14ac:dyDescent="0.35">
      <c r="A11" s="67" t="s">
        <v>6</v>
      </c>
      <c r="B11" s="174">
        <f t="shared" ref="B11:N11" si="3">SUM(B7:B10)</f>
        <v>229581300</v>
      </c>
      <c r="C11" s="238">
        <f t="shared" si="3"/>
        <v>0</v>
      </c>
      <c r="D11" s="226">
        <f t="shared" si="3"/>
        <v>229581300</v>
      </c>
      <c r="E11" s="238">
        <f t="shared" si="3"/>
        <v>7322800</v>
      </c>
      <c r="F11" s="239">
        <f t="shared" si="3"/>
        <v>12325900</v>
      </c>
      <c r="G11" s="239">
        <f t="shared" si="3"/>
        <v>1154200</v>
      </c>
      <c r="H11" s="239">
        <f t="shared" si="3"/>
        <v>0</v>
      </c>
      <c r="I11" s="226">
        <f t="shared" si="3"/>
        <v>0</v>
      </c>
      <c r="J11" s="226">
        <f t="shared" si="3"/>
        <v>0</v>
      </c>
      <c r="K11" s="239">
        <f t="shared" si="3"/>
        <v>250384200</v>
      </c>
      <c r="L11" s="239">
        <f t="shared" si="3"/>
        <v>0</v>
      </c>
      <c r="M11" s="239">
        <f t="shared" si="3"/>
        <v>250384200</v>
      </c>
      <c r="N11" s="239">
        <f t="shared" si="3"/>
        <v>20802900</v>
      </c>
      <c r="O11" s="240">
        <f>(K11-B11)/B11</f>
        <v>9.0612345169227629E-2</v>
      </c>
      <c r="P11" s="79"/>
    </row>
    <row r="12" spans="1:17" s="60" customFormat="1" x14ac:dyDescent="0.35">
      <c r="A12" s="67"/>
      <c r="B12" s="175"/>
      <c r="C12" s="63"/>
      <c r="D12" s="143"/>
      <c r="E12" s="63"/>
      <c r="F12" s="141"/>
      <c r="G12" s="141"/>
      <c r="H12" s="141"/>
      <c r="I12" s="143"/>
      <c r="J12" s="143"/>
      <c r="K12" s="141"/>
      <c r="L12" s="141"/>
      <c r="M12" s="141"/>
      <c r="N12" s="141"/>
      <c r="O12" s="217"/>
    </row>
    <row r="13" spans="1:17" s="60" customFormat="1" x14ac:dyDescent="0.35">
      <c r="A13" s="65" t="s">
        <v>21</v>
      </c>
      <c r="B13" s="172"/>
      <c r="C13" s="211"/>
      <c r="D13" s="111"/>
      <c r="E13" s="211"/>
      <c r="F13" s="110"/>
      <c r="G13" s="110"/>
      <c r="H13" s="110"/>
      <c r="I13" s="111"/>
      <c r="J13" s="111"/>
      <c r="K13" s="110"/>
      <c r="L13" s="110"/>
      <c r="M13" s="110"/>
      <c r="N13" s="110"/>
      <c r="O13" s="217"/>
    </row>
    <row r="14" spans="1:17" s="60" customFormat="1" x14ac:dyDescent="0.35">
      <c r="A14" s="63" t="s">
        <v>52</v>
      </c>
      <c r="B14" s="172">
        <v>31160800</v>
      </c>
      <c r="C14" s="211">
        <v>0</v>
      </c>
      <c r="D14" s="111">
        <f t="shared" ref="D14:D25" si="4">SUM(B14:C14)</f>
        <v>31160800</v>
      </c>
      <c r="E14" s="211">
        <v>0</v>
      </c>
      <c r="F14" s="110">
        <v>1156200</v>
      </c>
      <c r="G14" s="110">
        <f>56100+71600</f>
        <v>127700</v>
      </c>
      <c r="H14" s="110">
        <v>0</v>
      </c>
      <c r="I14" s="111">
        <v>0</v>
      </c>
      <c r="J14" s="111">
        <v>0</v>
      </c>
      <c r="K14" s="110">
        <f t="shared" ref="K14:K25" si="5">SUM(D14,E14:I14)</f>
        <v>32444700</v>
      </c>
      <c r="L14" s="110">
        <f t="shared" ref="L14:L25" si="6">SUM(J14:J14)</f>
        <v>0</v>
      </c>
      <c r="M14" s="110">
        <f t="shared" ref="M14:M25" si="7">K14+L14</f>
        <v>32444700</v>
      </c>
      <c r="N14" s="110">
        <f t="shared" ref="N14:N25" si="8">K14-B14</f>
        <v>1283900</v>
      </c>
      <c r="O14" s="217">
        <f t="shared" ref="O14:O26" si="9">(K14-B14)/B14</f>
        <v>4.1202408153834302E-2</v>
      </c>
    </row>
    <row r="15" spans="1:17" s="60" customFormat="1" x14ac:dyDescent="0.35">
      <c r="A15" s="63" t="s">
        <v>53</v>
      </c>
      <c r="B15" s="173">
        <v>38428800</v>
      </c>
      <c r="C15" s="214">
        <v>0</v>
      </c>
      <c r="D15" s="215">
        <f t="shared" si="4"/>
        <v>38428800</v>
      </c>
      <c r="E15" s="214">
        <v>0</v>
      </c>
      <c r="F15" s="216">
        <v>1519000</v>
      </c>
      <c r="G15" s="216">
        <f>107700+138100</f>
        <v>245800</v>
      </c>
      <c r="H15" s="216">
        <v>0</v>
      </c>
      <c r="I15" s="215">
        <v>0</v>
      </c>
      <c r="J15" s="215">
        <v>0</v>
      </c>
      <c r="K15" s="216">
        <f t="shared" si="5"/>
        <v>40193600</v>
      </c>
      <c r="L15" s="216">
        <f t="shared" si="6"/>
        <v>0</v>
      </c>
      <c r="M15" s="216">
        <f t="shared" si="7"/>
        <v>40193600</v>
      </c>
      <c r="N15" s="216">
        <f t="shared" si="8"/>
        <v>1764800</v>
      </c>
      <c r="O15" s="217">
        <f t="shared" si="9"/>
        <v>4.5923890415521695E-2</v>
      </c>
    </row>
    <row r="16" spans="1:17" s="60" customFormat="1" x14ac:dyDescent="0.35">
      <c r="A16" s="63" t="s">
        <v>22</v>
      </c>
      <c r="B16" s="173">
        <v>1429900</v>
      </c>
      <c r="C16" s="214">
        <v>0</v>
      </c>
      <c r="D16" s="215">
        <f t="shared" si="4"/>
        <v>1429900</v>
      </c>
      <c r="E16" s="214">
        <v>0</v>
      </c>
      <c r="F16" s="216">
        <v>36000</v>
      </c>
      <c r="G16" s="216">
        <v>0</v>
      </c>
      <c r="H16" s="216">
        <v>0</v>
      </c>
      <c r="I16" s="215">
        <v>0</v>
      </c>
      <c r="J16" s="215">
        <v>0</v>
      </c>
      <c r="K16" s="216">
        <f t="shared" si="5"/>
        <v>1465900</v>
      </c>
      <c r="L16" s="216">
        <f t="shared" si="6"/>
        <v>0</v>
      </c>
      <c r="M16" s="216">
        <f t="shared" si="7"/>
        <v>1465900</v>
      </c>
      <c r="N16" s="216">
        <f t="shared" si="8"/>
        <v>36000</v>
      </c>
      <c r="O16" s="217">
        <f t="shared" si="9"/>
        <v>2.5176585775229039E-2</v>
      </c>
    </row>
    <row r="17" spans="1:16" s="60" customFormat="1" x14ac:dyDescent="0.35">
      <c r="A17" s="63" t="s">
        <v>54</v>
      </c>
      <c r="B17" s="173">
        <v>4771600</v>
      </c>
      <c r="C17" s="214">
        <v>0</v>
      </c>
      <c r="D17" s="215">
        <f t="shared" si="4"/>
        <v>4771600</v>
      </c>
      <c r="E17" s="214">
        <v>0</v>
      </c>
      <c r="F17" s="216">
        <v>88500</v>
      </c>
      <c r="G17" s="216">
        <v>0</v>
      </c>
      <c r="H17" s="216">
        <v>0</v>
      </c>
      <c r="I17" s="215">
        <v>0</v>
      </c>
      <c r="J17" s="215">
        <v>0</v>
      </c>
      <c r="K17" s="216">
        <f t="shared" si="5"/>
        <v>4860100</v>
      </c>
      <c r="L17" s="216">
        <f t="shared" si="6"/>
        <v>0</v>
      </c>
      <c r="M17" s="216">
        <f t="shared" si="7"/>
        <v>4860100</v>
      </c>
      <c r="N17" s="216">
        <f t="shared" si="8"/>
        <v>88500</v>
      </c>
      <c r="O17" s="217">
        <f t="shared" si="9"/>
        <v>1.8547237823790762E-2</v>
      </c>
    </row>
    <row r="18" spans="1:16" s="60" customFormat="1" x14ac:dyDescent="0.35">
      <c r="A18" s="63" t="s">
        <v>23</v>
      </c>
      <c r="B18" s="173">
        <v>3705200</v>
      </c>
      <c r="C18" s="214">
        <v>0</v>
      </c>
      <c r="D18" s="215">
        <f t="shared" si="4"/>
        <v>3705200</v>
      </c>
      <c r="E18" s="214">
        <v>0</v>
      </c>
      <c r="F18" s="216">
        <v>162000</v>
      </c>
      <c r="G18" s="216">
        <v>0</v>
      </c>
      <c r="H18" s="216">
        <v>0</v>
      </c>
      <c r="I18" s="215">
        <v>0</v>
      </c>
      <c r="J18" s="215">
        <v>0</v>
      </c>
      <c r="K18" s="216">
        <f t="shared" si="5"/>
        <v>3867200</v>
      </c>
      <c r="L18" s="216">
        <f t="shared" si="6"/>
        <v>0</v>
      </c>
      <c r="M18" s="216">
        <f t="shared" si="7"/>
        <v>3867200</v>
      </c>
      <c r="N18" s="216">
        <f t="shared" si="8"/>
        <v>162000</v>
      </c>
      <c r="O18" s="217">
        <f t="shared" si="9"/>
        <v>4.3722336176184824E-2</v>
      </c>
    </row>
    <row r="19" spans="1:16" s="60" customFormat="1" x14ac:dyDescent="0.35">
      <c r="A19" s="63" t="s">
        <v>42</v>
      </c>
      <c r="B19" s="173">
        <v>198900</v>
      </c>
      <c r="C19" s="214">
        <v>0</v>
      </c>
      <c r="D19" s="215">
        <f t="shared" si="4"/>
        <v>198900</v>
      </c>
      <c r="E19" s="214">
        <v>0</v>
      </c>
      <c r="F19" s="216">
        <v>8900</v>
      </c>
      <c r="G19" s="216">
        <v>0</v>
      </c>
      <c r="H19" s="216">
        <v>0</v>
      </c>
      <c r="I19" s="215">
        <v>0</v>
      </c>
      <c r="J19" s="215">
        <v>0</v>
      </c>
      <c r="K19" s="216">
        <f t="shared" si="5"/>
        <v>207800</v>
      </c>
      <c r="L19" s="216">
        <f t="shared" si="6"/>
        <v>0</v>
      </c>
      <c r="M19" s="216">
        <f t="shared" si="7"/>
        <v>207800</v>
      </c>
      <c r="N19" s="216">
        <f t="shared" si="8"/>
        <v>8900</v>
      </c>
      <c r="O19" s="217">
        <f t="shared" si="9"/>
        <v>4.4746103569632982E-2</v>
      </c>
    </row>
    <row r="20" spans="1:16" s="60" customFormat="1" x14ac:dyDescent="0.35">
      <c r="A20" s="63" t="s">
        <v>24</v>
      </c>
      <c r="B20" s="173">
        <v>9301200</v>
      </c>
      <c r="C20" s="214">
        <v>0</v>
      </c>
      <c r="D20" s="215">
        <f t="shared" si="4"/>
        <v>9301200</v>
      </c>
      <c r="E20" s="214">
        <v>0</v>
      </c>
      <c r="F20" s="216">
        <v>324400</v>
      </c>
      <c r="G20" s="216">
        <f>8600+10600</f>
        <v>19200</v>
      </c>
      <c r="H20" s="216">
        <v>0</v>
      </c>
      <c r="I20" s="215">
        <v>0</v>
      </c>
      <c r="J20" s="215">
        <v>0</v>
      </c>
      <c r="K20" s="216">
        <f t="shared" si="5"/>
        <v>9644800</v>
      </c>
      <c r="L20" s="216">
        <f t="shared" si="6"/>
        <v>0</v>
      </c>
      <c r="M20" s="216">
        <f t="shared" si="7"/>
        <v>9644800</v>
      </c>
      <c r="N20" s="216">
        <f t="shared" si="8"/>
        <v>343600</v>
      </c>
      <c r="O20" s="217">
        <f t="shared" si="9"/>
        <v>3.6941469917860063E-2</v>
      </c>
    </row>
    <row r="21" spans="1:16" s="60" customFormat="1" x14ac:dyDescent="0.35">
      <c r="A21" s="63" t="s">
        <v>25</v>
      </c>
      <c r="B21" s="173">
        <f>SUM(B22:B23)</f>
        <v>6837800</v>
      </c>
      <c r="C21" s="214">
        <f t="shared" ref="C21:J21" si="10">SUM(C22:C23)</f>
        <v>0</v>
      </c>
      <c r="D21" s="215">
        <f t="shared" si="10"/>
        <v>6837800</v>
      </c>
      <c r="E21" s="214">
        <f t="shared" si="10"/>
        <v>0</v>
      </c>
      <c r="F21" s="216">
        <f t="shared" si="10"/>
        <v>249300</v>
      </c>
      <c r="G21" s="216">
        <f t="shared" si="10"/>
        <v>27900</v>
      </c>
      <c r="H21" s="216">
        <f t="shared" si="10"/>
        <v>0</v>
      </c>
      <c r="I21" s="215">
        <f t="shared" si="10"/>
        <v>0</v>
      </c>
      <c r="J21" s="215">
        <f t="shared" si="10"/>
        <v>0</v>
      </c>
      <c r="K21" s="216">
        <f t="shared" ref="K21" si="11">SUM(K22:K23)</f>
        <v>7115000</v>
      </c>
      <c r="L21" s="216">
        <f t="shared" ref="L21" si="12">SUM(L22:L23)</f>
        <v>0</v>
      </c>
      <c r="M21" s="216">
        <f t="shared" ref="M21" si="13">SUM(M22:M23)</f>
        <v>7115000</v>
      </c>
      <c r="N21" s="216">
        <f t="shared" ref="N21" si="14">SUM(N22:N23)</f>
        <v>277200</v>
      </c>
      <c r="O21" s="217">
        <f t="shared" si="9"/>
        <v>4.0539354763227939E-2</v>
      </c>
    </row>
    <row r="22" spans="1:16" s="60" customFormat="1" x14ac:dyDescent="0.35">
      <c r="A22" s="68" t="s">
        <v>101</v>
      </c>
      <c r="B22" s="176">
        <v>720600</v>
      </c>
      <c r="C22" s="212">
        <v>0</v>
      </c>
      <c r="D22" s="213">
        <f t="shared" ref="D22" si="15">SUM(B22:C22)</f>
        <v>720600</v>
      </c>
      <c r="E22" s="212">
        <v>0</v>
      </c>
      <c r="F22" s="221">
        <v>60200</v>
      </c>
      <c r="G22" s="221">
        <f>2700+3500</f>
        <v>6200</v>
      </c>
      <c r="H22" s="221">
        <v>0</v>
      </c>
      <c r="I22" s="213">
        <v>0</v>
      </c>
      <c r="J22" s="213">
        <v>0</v>
      </c>
      <c r="K22" s="221">
        <f t="shared" ref="K22:K23" si="16">SUM(D22,E22:I22)</f>
        <v>787000</v>
      </c>
      <c r="L22" s="221">
        <f t="shared" ref="L22" si="17">SUM(J22:J22)</f>
        <v>0</v>
      </c>
      <c r="M22" s="221">
        <f t="shared" ref="M22" si="18">K22+L22</f>
        <v>787000</v>
      </c>
      <c r="N22" s="221">
        <f t="shared" ref="N22:N23" si="19">K22-B22</f>
        <v>66400</v>
      </c>
      <c r="O22" s="222">
        <f t="shared" ref="O22" si="20">(K22-B22)/B22</f>
        <v>9.2145434360255338E-2</v>
      </c>
    </row>
    <row r="23" spans="1:16" s="60" customFormat="1" x14ac:dyDescent="0.35">
      <c r="A23" s="69" t="s">
        <v>102</v>
      </c>
      <c r="B23" s="177">
        <v>6117200</v>
      </c>
      <c r="C23" s="223">
        <v>0</v>
      </c>
      <c r="D23" s="224">
        <f>SUM(B23:C23)</f>
        <v>6117200</v>
      </c>
      <c r="E23" s="223">
        <v>0</v>
      </c>
      <c r="F23" s="235">
        <v>189100</v>
      </c>
      <c r="G23" s="235">
        <f>9700+12000</f>
        <v>21700</v>
      </c>
      <c r="H23" s="235">
        <v>0</v>
      </c>
      <c r="I23" s="224">
        <v>0</v>
      </c>
      <c r="J23" s="224">
        <v>0</v>
      </c>
      <c r="K23" s="235">
        <f t="shared" si="16"/>
        <v>6328000</v>
      </c>
      <c r="L23" s="235">
        <f t="shared" ref="L23" si="21">SUM(J23:J23)</f>
        <v>0</v>
      </c>
      <c r="M23" s="235">
        <f>K23+L23</f>
        <v>6328000</v>
      </c>
      <c r="N23" s="235">
        <f t="shared" si="19"/>
        <v>210800</v>
      </c>
      <c r="O23" s="236">
        <f>(K23-B23)/B23</f>
        <v>3.4460210553848167E-2</v>
      </c>
    </row>
    <row r="24" spans="1:16" s="60" customFormat="1" x14ac:dyDescent="0.35">
      <c r="A24" s="63" t="s">
        <v>50</v>
      </c>
      <c r="B24" s="173">
        <v>3221000</v>
      </c>
      <c r="C24" s="214">
        <v>0</v>
      </c>
      <c r="D24" s="215">
        <f t="shared" si="4"/>
        <v>3221000</v>
      </c>
      <c r="E24" s="214">
        <v>0</v>
      </c>
      <c r="F24" s="216">
        <v>161600</v>
      </c>
      <c r="G24" s="216">
        <f>5500+7400</f>
        <v>12900</v>
      </c>
      <c r="H24" s="216">
        <v>0</v>
      </c>
      <c r="I24" s="215">
        <v>0</v>
      </c>
      <c r="J24" s="215">
        <v>0</v>
      </c>
      <c r="K24" s="216">
        <f>SUM(D24,E24:I24)</f>
        <v>3395500</v>
      </c>
      <c r="L24" s="216">
        <f t="shared" si="6"/>
        <v>0</v>
      </c>
      <c r="M24" s="216">
        <f t="shared" si="7"/>
        <v>3395500</v>
      </c>
      <c r="N24" s="216">
        <f t="shared" si="8"/>
        <v>174500</v>
      </c>
      <c r="O24" s="217">
        <f t="shared" si="9"/>
        <v>5.4175721825520023E-2</v>
      </c>
    </row>
    <row r="25" spans="1:16" s="60" customFormat="1" x14ac:dyDescent="0.35">
      <c r="A25" s="70" t="s">
        <v>49</v>
      </c>
      <c r="B25" s="178">
        <v>3731200</v>
      </c>
      <c r="C25" s="237">
        <v>0</v>
      </c>
      <c r="D25" s="220">
        <f t="shared" si="4"/>
        <v>3731200</v>
      </c>
      <c r="E25" s="237">
        <v>0</v>
      </c>
      <c r="F25" s="219">
        <v>226600</v>
      </c>
      <c r="G25" s="219">
        <f>6900+9200</f>
        <v>16100</v>
      </c>
      <c r="H25" s="219">
        <v>0</v>
      </c>
      <c r="I25" s="220">
        <v>0</v>
      </c>
      <c r="J25" s="220">
        <v>0</v>
      </c>
      <c r="K25" s="219">
        <f t="shared" si="5"/>
        <v>3973900</v>
      </c>
      <c r="L25" s="219">
        <f t="shared" si="6"/>
        <v>0</v>
      </c>
      <c r="M25" s="219">
        <f t="shared" si="7"/>
        <v>3973900</v>
      </c>
      <c r="N25" s="219">
        <f t="shared" si="8"/>
        <v>242700</v>
      </c>
      <c r="O25" s="205">
        <f t="shared" si="9"/>
        <v>6.5046097770154368E-2</v>
      </c>
    </row>
    <row r="26" spans="1:16" s="60" customFormat="1" x14ac:dyDescent="0.35">
      <c r="A26" s="67" t="s">
        <v>6</v>
      </c>
      <c r="B26" s="179">
        <f>SUM(B14:B25)-B21</f>
        <v>102786400</v>
      </c>
      <c r="C26" s="118">
        <f t="shared" ref="C26:N26" si="22">SUM(C14:C25)-C21</f>
        <v>0</v>
      </c>
      <c r="D26" s="117">
        <f t="shared" si="22"/>
        <v>102786400</v>
      </c>
      <c r="E26" s="118">
        <f t="shared" si="22"/>
        <v>0</v>
      </c>
      <c r="F26" s="116">
        <f t="shared" si="22"/>
        <v>3932500</v>
      </c>
      <c r="G26" s="116">
        <f t="shared" si="22"/>
        <v>449600</v>
      </c>
      <c r="H26" s="116">
        <f t="shared" si="22"/>
        <v>0</v>
      </c>
      <c r="I26" s="117">
        <f>SUM(I14:I25)-I21</f>
        <v>0</v>
      </c>
      <c r="J26" s="117">
        <f t="shared" si="22"/>
        <v>0</v>
      </c>
      <c r="K26" s="116">
        <f t="shared" si="22"/>
        <v>107168500</v>
      </c>
      <c r="L26" s="116">
        <f t="shared" si="22"/>
        <v>0</v>
      </c>
      <c r="M26" s="116">
        <f t="shared" si="22"/>
        <v>107168500</v>
      </c>
      <c r="N26" s="116">
        <f t="shared" si="22"/>
        <v>4382100</v>
      </c>
      <c r="O26" s="234">
        <f t="shared" si="9"/>
        <v>4.263307207957473E-2</v>
      </c>
      <c r="P26" s="79"/>
    </row>
    <row r="27" spans="1:16" x14ac:dyDescent="0.35">
      <c r="A27" s="67"/>
      <c r="B27" s="180"/>
      <c r="C27" s="19"/>
      <c r="D27" s="113"/>
      <c r="E27" s="255"/>
      <c r="F27" s="1"/>
      <c r="G27" s="1"/>
      <c r="H27" s="1"/>
      <c r="I27" s="20"/>
      <c r="J27" s="20"/>
      <c r="K27" s="1"/>
      <c r="L27" s="1"/>
      <c r="M27" s="1"/>
      <c r="N27" s="1"/>
      <c r="O27" s="12"/>
    </row>
    <row r="28" spans="1:16" x14ac:dyDescent="0.35">
      <c r="A28" s="65" t="s">
        <v>26</v>
      </c>
      <c r="B28" s="180"/>
      <c r="C28" s="19"/>
      <c r="D28" s="113"/>
      <c r="E28" s="255"/>
      <c r="F28" s="1"/>
      <c r="G28" s="1"/>
      <c r="H28" s="1"/>
      <c r="I28" s="20"/>
      <c r="J28" s="20"/>
      <c r="K28" s="1"/>
      <c r="L28" s="1"/>
      <c r="M28" s="1"/>
      <c r="N28" s="1"/>
      <c r="O28" s="12"/>
    </row>
    <row r="29" spans="1:16" s="60" customFormat="1" x14ac:dyDescent="0.35">
      <c r="A29" s="63" t="s">
        <v>27</v>
      </c>
      <c r="B29" s="172">
        <v>6064200</v>
      </c>
      <c r="C29" s="211">
        <v>0</v>
      </c>
      <c r="D29" s="111">
        <f t="shared" ref="D29:D30" si="23">SUM(B29:C29)</f>
        <v>6064200</v>
      </c>
      <c r="E29" s="211">
        <v>0</v>
      </c>
      <c r="F29" s="110">
        <v>154300</v>
      </c>
      <c r="G29" s="110">
        <f>39900+53100</f>
        <v>93000</v>
      </c>
      <c r="H29" s="110">
        <v>0</v>
      </c>
      <c r="I29" s="111">
        <v>5100000</v>
      </c>
      <c r="J29" s="111">
        <v>1000000</v>
      </c>
      <c r="K29" s="110">
        <f>SUM(D29,E29:I29)</f>
        <v>11411500</v>
      </c>
      <c r="L29" s="110">
        <f t="shared" ref="L29:L30" si="24">SUM(J29:J29)</f>
        <v>1000000</v>
      </c>
      <c r="M29" s="110">
        <f>K29+L29</f>
        <v>12411500</v>
      </c>
      <c r="N29" s="110">
        <f>K29-B29</f>
        <v>5347300</v>
      </c>
      <c r="O29" s="217">
        <f t="shared" ref="O29:O34" si="25">(K29-B29)/B29</f>
        <v>0.88178160350911905</v>
      </c>
    </row>
    <row r="30" spans="1:16" s="60" customFormat="1" x14ac:dyDescent="0.35">
      <c r="A30" s="63" t="s">
        <v>28</v>
      </c>
      <c r="B30" s="173">
        <v>12775800</v>
      </c>
      <c r="C30" s="214">
        <v>0</v>
      </c>
      <c r="D30" s="215">
        <f t="shared" si="23"/>
        <v>12775800</v>
      </c>
      <c r="E30" s="214">
        <v>0</v>
      </c>
      <c r="F30" s="216">
        <v>652400</v>
      </c>
      <c r="G30" s="216">
        <f>26300+34500</f>
        <v>60800</v>
      </c>
      <c r="H30" s="216">
        <v>0</v>
      </c>
      <c r="I30" s="215">
        <f>400000+222000</f>
        <v>622000</v>
      </c>
      <c r="J30" s="215">
        <f>350000+650000+3630000</f>
        <v>4630000</v>
      </c>
      <c r="K30" s="216">
        <f>SUM(D30,E30:I30)</f>
        <v>14111000</v>
      </c>
      <c r="L30" s="216">
        <f t="shared" si="24"/>
        <v>4630000</v>
      </c>
      <c r="M30" s="216">
        <f>K30+L30</f>
        <v>18741000</v>
      </c>
      <c r="N30" s="216">
        <f>K30-B30</f>
        <v>1335200</v>
      </c>
      <c r="O30" s="217">
        <f t="shared" si="25"/>
        <v>0.10451008938774871</v>
      </c>
    </row>
    <row r="31" spans="1:16" s="60" customFormat="1" x14ac:dyDescent="0.35">
      <c r="A31" s="63" t="s">
        <v>29</v>
      </c>
      <c r="B31" s="173">
        <f>SUM(B32:B35)</f>
        <v>116195200</v>
      </c>
      <c r="C31" s="218">
        <f>SUM(C32:C35)</f>
        <v>-39700</v>
      </c>
      <c r="D31" s="215">
        <f>SUM(D32:D35)</f>
        <v>116155500</v>
      </c>
      <c r="E31" s="218">
        <f t="shared" ref="E31:N31" si="26">SUM(E32:E35)</f>
        <v>0</v>
      </c>
      <c r="F31" s="219">
        <f t="shared" si="26"/>
        <v>0</v>
      </c>
      <c r="G31" s="219">
        <f t="shared" si="26"/>
        <v>0</v>
      </c>
      <c r="H31" s="219">
        <f>SUM(H32:H35)</f>
        <v>0</v>
      </c>
      <c r="I31" s="220">
        <f t="shared" si="26"/>
        <v>4000000</v>
      </c>
      <c r="J31" s="220">
        <f t="shared" si="26"/>
        <v>0</v>
      </c>
      <c r="K31" s="216">
        <f t="shared" si="26"/>
        <v>120155500</v>
      </c>
      <c r="L31" s="216">
        <f>SUM(L32:L35)</f>
        <v>0</v>
      </c>
      <c r="M31" s="216">
        <f t="shared" si="26"/>
        <v>120155500</v>
      </c>
      <c r="N31" s="216">
        <f t="shared" si="26"/>
        <v>3960300</v>
      </c>
      <c r="O31" s="217">
        <f t="shared" si="25"/>
        <v>3.4083163504172287E-2</v>
      </c>
    </row>
    <row r="32" spans="1:16" s="60" customFormat="1" x14ac:dyDescent="0.35">
      <c r="A32" s="68" t="s">
        <v>66</v>
      </c>
      <c r="B32" s="176">
        <v>113262500</v>
      </c>
      <c r="C32" s="212">
        <v>0</v>
      </c>
      <c r="D32" s="213">
        <f t="shared" ref="D32:D45" si="27">SUM(B32:C32)</f>
        <v>113262500</v>
      </c>
      <c r="E32" s="212">
        <v>0</v>
      </c>
      <c r="F32" s="221">
        <v>0</v>
      </c>
      <c r="G32" s="221">
        <v>0</v>
      </c>
      <c r="H32" s="221">
        <v>0</v>
      </c>
      <c r="I32" s="213">
        <v>4000000</v>
      </c>
      <c r="J32" s="213">
        <v>0</v>
      </c>
      <c r="K32" s="221">
        <f t="shared" ref="K32:K36" si="28">SUM(D32,E32:I32)</f>
        <v>117262500</v>
      </c>
      <c r="L32" s="221">
        <f t="shared" ref="L32:L34" si="29">SUM(J32:J32)</f>
        <v>0</v>
      </c>
      <c r="M32" s="221">
        <f t="shared" ref="M32:M39" si="30">K32+L32</f>
        <v>117262500</v>
      </c>
      <c r="N32" s="221">
        <f t="shared" ref="N32:N36" si="31">K32-B32</f>
        <v>4000000</v>
      </c>
      <c r="O32" s="222">
        <f t="shared" si="25"/>
        <v>3.5316190265975059E-2</v>
      </c>
    </row>
    <row r="33" spans="1:22" x14ac:dyDescent="0.35">
      <c r="A33" s="71" t="s">
        <v>30</v>
      </c>
      <c r="B33" s="181">
        <v>2154500</v>
      </c>
      <c r="C33" s="243">
        <v>-39700</v>
      </c>
      <c r="D33" s="227">
        <f t="shared" si="27"/>
        <v>2114800</v>
      </c>
      <c r="E33" s="243">
        <v>0</v>
      </c>
      <c r="F33" s="241">
        <v>0</v>
      </c>
      <c r="G33" s="241">
        <v>0</v>
      </c>
      <c r="H33" s="241">
        <v>0</v>
      </c>
      <c r="I33" s="227">
        <v>0</v>
      </c>
      <c r="J33" s="227">
        <v>0</v>
      </c>
      <c r="K33" s="241">
        <f t="shared" si="28"/>
        <v>2114800</v>
      </c>
      <c r="L33" s="241">
        <f t="shared" si="29"/>
        <v>0</v>
      </c>
      <c r="M33" s="241">
        <f t="shared" si="30"/>
        <v>2114800</v>
      </c>
      <c r="N33" s="241">
        <f t="shared" si="31"/>
        <v>-39700</v>
      </c>
      <c r="O33" s="244">
        <f t="shared" si="25"/>
        <v>-1.8426549083313995E-2</v>
      </c>
    </row>
    <row r="34" spans="1:22" x14ac:dyDescent="0.35">
      <c r="A34" s="72" t="s">
        <v>59</v>
      </c>
      <c r="B34" s="177">
        <v>778200</v>
      </c>
      <c r="C34" s="223">
        <v>0</v>
      </c>
      <c r="D34" s="224">
        <f t="shared" si="27"/>
        <v>778200</v>
      </c>
      <c r="E34" s="223">
        <v>0</v>
      </c>
      <c r="F34" s="235">
        <v>0</v>
      </c>
      <c r="G34" s="235">
        <v>0</v>
      </c>
      <c r="H34" s="235">
        <v>0</v>
      </c>
      <c r="I34" s="224">
        <v>0</v>
      </c>
      <c r="J34" s="224">
        <v>0</v>
      </c>
      <c r="K34" s="235">
        <f t="shared" si="28"/>
        <v>778200</v>
      </c>
      <c r="L34" s="235">
        <f t="shared" si="29"/>
        <v>0</v>
      </c>
      <c r="M34" s="235">
        <f t="shared" si="30"/>
        <v>778200</v>
      </c>
      <c r="N34" s="235">
        <f t="shared" si="31"/>
        <v>0</v>
      </c>
      <c r="O34" s="236">
        <f t="shared" si="25"/>
        <v>0</v>
      </c>
    </row>
    <row r="35" spans="1:22" s="21" customFormat="1" ht="18" hidden="1" customHeight="1" x14ac:dyDescent="0.35">
      <c r="A35" s="72" t="s">
        <v>76</v>
      </c>
      <c r="B35" s="177">
        <v>0</v>
      </c>
      <c r="C35" s="15">
        <v>0</v>
      </c>
      <c r="D35" s="224">
        <f t="shared" si="27"/>
        <v>0</v>
      </c>
      <c r="E35" s="223">
        <v>0</v>
      </c>
      <c r="F35" s="17">
        <v>0</v>
      </c>
      <c r="G35" s="17">
        <v>0</v>
      </c>
      <c r="H35" s="17">
        <v>0</v>
      </c>
      <c r="I35" s="16">
        <v>0</v>
      </c>
      <c r="J35" s="16">
        <v>0</v>
      </c>
      <c r="K35" s="17">
        <f t="shared" si="28"/>
        <v>0</v>
      </c>
      <c r="L35" s="17">
        <f>H35+J35</f>
        <v>0</v>
      </c>
      <c r="M35" s="17">
        <f t="shared" si="30"/>
        <v>0</v>
      </c>
      <c r="N35" s="17">
        <f t="shared" si="31"/>
        <v>0</v>
      </c>
      <c r="O35" s="18" t="s">
        <v>69</v>
      </c>
      <c r="P35" s="60"/>
      <c r="Q35" s="60"/>
      <c r="R35" s="2"/>
      <c r="S35" s="2"/>
      <c r="T35" s="2"/>
      <c r="U35" s="2"/>
      <c r="V35" s="2"/>
    </row>
    <row r="36" spans="1:22" s="60" customFormat="1" x14ac:dyDescent="0.35">
      <c r="A36" s="66" t="s">
        <v>32</v>
      </c>
      <c r="B36" s="173">
        <v>2249900</v>
      </c>
      <c r="C36" s="214">
        <v>-35900</v>
      </c>
      <c r="D36" s="215">
        <f>SUM(B36:C36)</f>
        <v>2214000</v>
      </c>
      <c r="E36" s="214">
        <v>0</v>
      </c>
      <c r="F36" s="216">
        <v>0</v>
      </c>
      <c r="G36" s="216">
        <v>0</v>
      </c>
      <c r="H36" s="216">
        <v>0</v>
      </c>
      <c r="I36" s="215">
        <v>363000</v>
      </c>
      <c r="J36" s="215">
        <v>0</v>
      </c>
      <c r="K36" s="216">
        <f t="shared" si="28"/>
        <v>2577000</v>
      </c>
      <c r="L36" s="216">
        <f t="shared" ref="L36" si="32">SUM(J36:J36)</f>
        <v>0</v>
      </c>
      <c r="M36" s="216">
        <f>K36+L36</f>
        <v>2577000</v>
      </c>
      <c r="N36" s="216">
        <f t="shared" si="31"/>
        <v>327100</v>
      </c>
      <c r="O36" s="217">
        <f>(K36-B36)/B36</f>
        <v>0.14538423929952443</v>
      </c>
    </row>
    <row r="37" spans="1:22" s="60" customFormat="1" x14ac:dyDescent="0.35">
      <c r="A37" s="64" t="s">
        <v>31</v>
      </c>
      <c r="B37" s="178">
        <f>SUM(B38:B48)</f>
        <v>5588500</v>
      </c>
      <c r="C37" s="237">
        <f t="shared" ref="C37:M37" si="33">SUM(C38:C48)</f>
        <v>-28000</v>
      </c>
      <c r="D37" s="220">
        <f t="shared" si="33"/>
        <v>5560500</v>
      </c>
      <c r="E37" s="237">
        <f t="shared" si="33"/>
        <v>0</v>
      </c>
      <c r="F37" s="219">
        <f t="shared" si="33"/>
        <v>0</v>
      </c>
      <c r="G37" s="219">
        <f t="shared" si="33"/>
        <v>0</v>
      </c>
      <c r="H37" s="219">
        <f t="shared" si="33"/>
        <v>0</v>
      </c>
      <c r="I37" s="220">
        <f t="shared" si="33"/>
        <v>0</v>
      </c>
      <c r="J37" s="220">
        <f t="shared" si="33"/>
        <v>0</v>
      </c>
      <c r="K37" s="219">
        <f t="shared" si="33"/>
        <v>5560500</v>
      </c>
      <c r="L37" s="219">
        <f t="shared" si="33"/>
        <v>0</v>
      </c>
      <c r="M37" s="219">
        <f t="shared" si="33"/>
        <v>5560500</v>
      </c>
      <c r="N37" s="219">
        <f>SUM(N38:N48)</f>
        <v>-28000</v>
      </c>
      <c r="O37" s="205">
        <f>(K37-B37)/B37</f>
        <v>-5.010288986311175E-3</v>
      </c>
    </row>
    <row r="38" spans="1:22" s="4" customFormat="1" x14ac:dyDescent="0.35">
      <c r="A38" s="68" t="s">
        <v>82</v>
      </c>
      <c r="B38" s="176">
        <v>3711100</v>
      </c>
      <c r="C38" s="212">
        <v>-28000</v>
      </c>
      <c r="D38" s="213">
        <f t="shared" si="27"/>
        <v>3683100</v>
      </c>
      <c r="E38" s="212">
        <v>0</v>
      </c>
      <c r="F38" s="221">
        <v>0</v>
      </c>
      <c r="G38" s="221">
        <v>0</v>
      </c>
      <c r="H38" s="221">
        <v>0</v>
      </c>
      <c r="I38" s="213">
        <v>0</v>
      </c>
      <c r="J38" s="213">
        <v>0</v>
      </c>
      <c r="K38" s="221">
        <f t="shared" ref="K38:K47" si="34">SUM(D38,E38:I38)</f>
        <v>3683100</v>
      </c>
      <c r="L38" s="221">
        <f t="shared" ref="L38:L45" si="35">SUM(J38:J38)</f>
        <v>0</v>
      </c>
      <c r="M38" s="221">
        <f t="shared" si="30"/>
        <v>3683100</v>
      </c>
      <c r="N38" s="221">
        <f t="shared" ref="N38:N47" si="36">K38-B38</f>
        <v>-28000</v>
      </c>
      <c r="O38" s="244">
        <f t="shared" ref="O38:O41" si="37">(K38-B38)/B38</f>
        <v>-7.5449327692597885E-3</v>
      </c>
      <c r="P38" s="80"/>
      <c r="Q38" s="80"/>
    </row>
    <row r="39" spans="1:22" s="4" customFormat="1" x14ac:dyDescent="0.35">
      <c r="A39" s="71" t="s">
        <v>95</v>
      </c>
      <c r="B39" s="181">
        <v>105000</v>
      </c>
      <c r="C39" s="243">
        <v>0</v>
      </c>
      <c r="D39" s="227">
        <f t="shared" si="27"/>
        <v>105000</v>
      </c>
      <c r="E39" s="243">
        <v>0</v>
      </c>
      <c r="F39" s="241">
        <v>0</v>
      </c>
      <c r="G39" s="241">
        <v>0</v>
      </c>
      <c r="H39" s="241">
        <v>0</v>
      </c>
      <c r="I39" s="227">
        <v>0</v>
      </c>
      <c r="J39" s="227">
        <v>0</v>
      </c>
      <c r="K39" s="241">
        <f t="shared" si="34"/>
        <v>105000</v>
      </c>
      <c r="L39" s="241">
        <f t="shared" si="35"/>
        <v>0</v>
      </c>
      <c r="M39" s="241">
        <f t="shared" si="30"/>
        <v>105000</v>
      </c>
      <c r="N39" s="241">
        <f t="shared" ref="N39" si="38">K39-B39</f>
        <v>0</v>
      </c>
      <c r="O39" s="244">
        <f t="shared" si="37"/>
        <v>0</v>
      </c>
      <c r="P39" s="80"/>
      <c r="Q39" s="80"/>
    </row>
    <row r="40" spans="1:22" s="4" customFormat="1" x14ac:dyDescent="0.35">
      <c r="A40" s="71" t="s">
        <v>89</v>
      </c>
      <c r="B40" s="181">
        <v>100000</v>
      </c>
      <c r="C40" s="243">
        <v>0</v>
      </c>
      <c r="D40" s="227">
        <f t="shared" si="27"/>
        <v>100000</v>
      </c>
      <c r="E40" s="243">
        <v>0</v>
      </c>
      <c r="F40" s="241">
        <v>0</v>
      </c>
      <c r="G40" s="241">
        <v>0</v>
      </c>
      <c r="H40" s="241">
        <v>0</v>
      </c>
      <c r="I40" s="227">
        <v>0</v>
      </c>
      <c r="J40" s="227">
        <v>0</v>
      </c>
      <c r="K40" s="241">
        <f t="shared" ref="K40" si="39">SUM(D40,E40:I40)</f>
        <v>100000</v>
      </c>
      <c r="L40" s="241">
        <f t="shared" ref="L40" si="40">SUM(J40:J40)</f>
        <v>0</v>
      </c>
      <c r="M40" s="241">
        <f t="shared" ref="M40" si="41">K40+L40</f>
        <v>100000</v>
      </c>
      <c r="N40" s="241">
        <f t="shared" ref="N40" si="42">K40-B40</f>
        <v>0</v>
      </c>
      <c r="O40" s="244">
        <f t="shared" si="37"/>
        <v>0</v>
      </c>
      <c r="P40" s="80"/>
      <c r="Q40" s="80"/>
    </row>
    <row r="41" spans="1:22" s="4" customFormat="1" x14ac:dyDescent="0.35">
      <c r="A41" s="71" t="s">
        <v>90</v>
      </c>
      <c r="B41" s="181">
        <v>120600</v>
      </c>
      <c r="C41" s="243">
        <v>0</v>
      </c>
      <c r="D41" s="227">
        <f t="shared" si="27"/>
        <v>120600</v>
      </c>
      <c r="E41" s="243">
        <v>0</v>
      </c>
      <c r="F41" s="241">
        <v>0</v>
      </c>
      <c r="G41" s="241">
        <v>0</v>
      </c>
      <c r="H41" s="241">
        <v>0</v>
      </c>
      <c r="I41" s="227">
        <v>0</v>
      </c>
      <c r="J41" s="227">
        <v>0</v>
      </c>
      <c r="K41" s="241">
        <f t="shared" ref="K41" si="43">SUM(D41,E41:I41)</f>
        <v>120600</v>
      </c>
      <c r="L41" s="241">
        <f t="shared" ref="L41" si="44">SUM(J41:J41)</f>
        <v>0</v>
      </c>
      <c r="M41" s="241">
        <f t="shared" ref="M41" si="45">K41+L41</f>
        <v>120600</v>
      </c>
      <c r="N41" s="241">
        <f t="shared" ref="N41" si="46">K41-B41</f>
        <v>0</v>
      </c>
      <c r="O41" s="244">
        <f t="shared" si="37"/>
        <v>0</v>
      </c>
      <c r="P41" s="80"/>
      <c r="Q41" s="80"/>
    </row>
    <row r="42" spans="1:22" s="4" customFormat="1" x14ac:dyDescent="0.35">
      <c r="A42" s="71" t="s">
        <v>91</v>
      </c>
      <c r="B42" s="181">
        <v>83900</v>
      </c>
      <c r="C42" s="243">
        <v>0</v>
      </c>
      <c r="D42" s="227">
        <f t="shared" si="27"/>
        <v>83900</v>
      </c>
      <c r="E42" s="243">
        <v>0</v>
      </c>
      <c r="F42" s="241">
        <v>0</v>
      </c>
      <c r="G42" s="241">
        <v>0</v>
      </c>
      <c r="H42" s="241">
        <v>0</v>
      </c>
      <c r="I42" s="227">
        <v>0</v>
      </c>
      <c r="J42" s="227">
        <v>0</v>
      </c>
      <c r="K42" s="241">
        <f>SUM(D42,E42:I42)</f>
        <v>83900</v>
      </c>
      <c r="L42" s="241">
        <f t="shared" si="35"/>
        <v>0</v>
      </c>
      <c r="M42" s="241">
        <f t="shared" ref="M42:M45" si="47">K42+L42</f>
        <v>83900</v>
      </c>
      <c r="N42" s="241">
        <f t="shared" si="36"/>
        <v>0</v>
      </c>
      <c r="O42" s="244">
        <f t="shared" ref="O42:O43" si="48">(K42-B42)/B42</f>
        <v>0</v>
      </c>
      <c r="P42" s="80"/>
      <c r="Q42" s="80"/>
    </row>
    <row r="43" spans="1:22" s="4" customFormat="1" x14ac:dyDescent="0.35">
      <c r="A43" s="71" t="s">
        <v>83</v>
      </c>
      <c r="B43" s="181">
        <v>416400</v>
      </c>
      <c r="C43" s="243">
        <v>0</v>
      </c>
      <c r="D43" s="227">
        <f t="shared" si="27"/>
        <v>416400</v>
      </c>
      <c r="E43" s="243">
        <v>0</v>
      </c>
      <c r="F43" s="241">
        <v>0</v>
      </c>
      <c r="G43" s="241">
        <v>0</v>
      </c>
      <c r="H43" s="241">
        <v>0</v>
      </c>
      <c r="I43" s="227">
        <v>0</v>
      </c>
      <c r="J43" s="227">
        <v>0</v>
      </c>
      <c r="K43" s="241">
        <f t="shared" si="34"/>
        <v>416400</v>
      </c>
      <c r="L43" s="241">
        <f t="shared" si="35"/>
        <v>0</v>
      </c>
      <c r="M43" s="241">
        <f t="shared" si="47"/>
        <v>416400</v>
      </c>
      <c r="N43" s="241">
        <f t="shared" si="36"/>
        <v>0</v>
      </c>
      <c r="O43" s="244">
        <f t="shared" si="48"/>
        <v>0</v>
      </c>
      <c r="P43" s="80"/>
      <c r="Q43" s="80"/>
    </row>
    <row r="44" spans="1:22" x14ac:dyDescent="0.35">
      <c r="A44" s="71" t="s">
        <v>96</v>
      </c>
      <c r="B44" s="181">
        <v>245200</v>
      </c>
      <c r="C44" s="243">
        <v>0</v>
      </c>
      <c r="D44" s="227">
        <f t="shared" si="27"/>
        <v>245200</v>
      </c>
      <c r="E44" s="243">
        <v>0</v>
      </c>
      <c r="F44" s="241">
        <v>0</v>
      </c>
      <c r="G44" s="241">
        <v>0</v>
      </c>
      <c r="H44" s="241">
        <v>0</v>
      </c>
      <c r="I44" s="227">
        <v>0</v>
      </c>
      <c r="J44" s="227">
        <v>0</v>
      </c>
      <c r="K44" s="241">
        <f t="shared" si="34"/>
        <v>245200</v>
      </c>
      <c r="L44" s="241">
        <f t="shared" si="35"/>
        <v>0</v>
      </c>
      <c r="M44" s="241">
        <f t="shared" si="47"/>
        <v>245200</v>
      </c>
      <c r="N44" s="241">
        <f t="shared" si="36"/>
        <v>0</v>
      </c>
      <c r="O44" s="244" t="s">
        <v>69</v>
      </c>
    </row>
    <row r="45" spans="1:22" x14ac:dyDescent="0.35">
      <c r="A45" s="71" t="s">
        <v>80</v>
      </c>
      <c r="B45" s="181">
        <v>200000</v>
      </c>
      <c r="C45" s="243">
        <v>0</v>
      </c>
      <c r="D45" s="227">
        <f t="shared" si="27"/>
        <v>200000</v>
      </c>
      <c r="E45" s="243">
        <v>0</v>
      </c>
      <c r="F45" s="241">
        <v>0</v>
      </c>
      <c r="G45" s="241">
        <v>0</v>
      </c>
      <c r="H45" s="241">
        <v>0</v>
      </c>
      <c r="I45" s="227">
        <v>0</v>
      </c>
      <c r="J45" s="227">
        <v>0</v>
      </c>
      <c r="K45" s="241">
        <f t="shared" si="34"/>
        <v>200000</v>
      </c>
      <c r="L45" s="241">
        <f t="shared" si="35"/>
        <v>0</v>
      </c>
      <c r="M45" s="241">
        <f t="shared" si="47"/>
        <v>200000</v>
      </c>
      <c r="N45" s="241">
        <f t="shared" si="36"/>
        <v>0</v>
      </c>
      <c r="O45" s="244" t="s">
        <v>69</v>
      </c>
    </row>
    <row r="46" spans="1:22" ht="18" customHeight="1" x14ac:dyDescent="0.35">
      <c r="A46" s="71" t="s">
        <v>81</v>
      </c>
      <c r="B46" s="181">
        <v>96300</v>
      </c>
      <c r="C46" s="243">
        <v>0</v>
      </c>
      <c r="D46" s="227">
        <f>SUM(B46:C46)</f>
        <v>96300</v>
      </c>
      <c r="E46" s="243">
        <v>0</v>
      </c>
      <c r="F46" s="241">
        <v>0</v>
      </c>
      <c r="G46" s="241">
        <v>0</v>
      </c>
      <c r="H46" s="241">
        <v>0</v>
      </c>
      <c r="I46" s="227">
        <v>0</v>
      </c>
      <c r="J46" s="227">
        <v>0</v>
      </c>
      <c r="K46" s="241">
        <f t="shared" si="34"/>
        <v>96300</v>
      </c>
      <c r="L46" s="241">
        <f>H46+J46</f>
        <v>0</v>
      </c>
      <c r="M46" s="241">
        <f>K46+L46</f>
        <v>96300</v>
      </c>
      <c r="N46" s="241">
        <f t="shared" si="36"/>
        <v>0</v>
      </c>
      <c r="O46" s="244" t="s">
        <v>69</v>
      </c>
    </row>
    <row r="47" spans="1:22" ht="18" customHeight="1" x14ac:dyDescent="0.35">
      <c r="A47" s="71" t="s">
        <v>100</v>
      </c>
      <c r="B47" s="181">
        <v>84000</v>
      </c>
      <c r="C47" s="243">
        <v>0</v>
      </c>
      <c r="D47" s="227">
        <f>SUM(B47:C47)</f>
        <v>84000</v>
      </c>
      <c r="E47" s="243">
        <v>0</v>
      </c>
      <c r="F47" s="241">
        <v>0</v>
      </c>
      <c r="G47" s="241">
        <v>0</v>
      </c>
      <c r="H47" s="241">
        <v>0</v>
      </c>
      <c r="I47" s="227">
        <v>0</v>
      </c>
      <c r="J47" s="227">
        <v>0</v>
      </c>
      <c r="K47" s="241">
        <f t="shared" si="34"/>
        <v>84000</v>
      </c>
      <c r="L47" s="241">
        <f>H47+J47</f>
        <v>0</v>
      </c>
      <c r="M47" s="241">
        <f>K47+L47</f>
        <v>84000</v>
      </c>
      <c r="N47" s="241">
        <f t="shared" si="36"/>
        <v>0</v>
      </c>
      <c r="O47" s="244" t="s">
        <v>69</v>
      </c>
    </row>
    <row r="48" spans="1:22" s="4" customFormat="1" x14ac:dyDescent="0.35">
      <c r="A48" s="71" t="s">
        <v>104</v>
      </c>
      <c r="B48" s="181">
        <v>426000</v>
      </c>
      <c r="C48" s="243">
        <v>0</v>
      </c>
      <c r="D48" s="227">
        <f>SUM(B48:C48)</f>
        <v>426000</v>
      </c>
      <c r="E48" s="243">
        <v>0</v>
      </c>
      <c r="F48" s="241">
        <v>0</v>
      </c>
      <c r="G48" s="241">
        <v>0</v>
      </c>
      <c r="H48" s="241">
        <v>0</v>
      </c>
      <c r="I48" s="227">
        <v>0</v>
      </c>
      <c r="J48" s="227">
        <v>0</v>
      </c>
      <c r="K48" s="241">
        <f>SUM(D48,E48:I48)</f>
        <v>426000</v>
      </c>
      <c r="L48" s="241">
        <f t="shared" ref="L48" si="49">SUM(J48:J48)</f>
        <v>0</v>
      </c>
      <c r="M48" s="241">
        <f t="shared" ref="M48" si="50">K48+L48</f>
        <v>426000</v>
      </c>
      <c r="N48" s="241">
        <f t="shared" ref="N48" si="51">K48-B48</f>
        <v>0</v>
      </c>
      <c r="O48" s="244" t="s">
        <v>69</v>
      </c>
      <c r="P48" s="80"/>
      <c r="Q48" s="80"/>
    </row>
    <row r="49" spans="1:16" s="60" customFormat="1" x14ac:dyDescent="0.35">
      <c r="A49" s="73" t="s">
        <v>6</v>
      </c>
      <c r="B49" s="174">
        <f t="shared" ref="B49:N49" si="52">SUM(B29:B31,B36:B37)</f>
        <v>142873600</v>
      </c>
      <c r="C49" s="238">
        <f t="shared" si="52"/>
        <v>-103600</v>
      </c>
      <c r="D49" s="226">
        <f t="shared" si="52"/>
        <v>142770000</v>
      </c>
      <c r="E49" s="238">
        <f t="shared" si="52"/>
        <v>0</v>
      </c>
      <c r="F49" s="239">
        <f t="shared" si="52"/>
        <v>806700</v>
      </c>
      <c r="G49" s="239">
        <f t="shared" si="52"/>
        <v>153800</v>
      </c>
      <c r="H49" s="239">
        <f t="shared" si="52"/>
        <v>0</v>
      </c>
      <c r="I49" s="226">
        <f t="shared" si="52"/>
        <v>10085000</v>
      </c>
      <c r="J49" s="226">
        <f>SUM(J29:J31,J36:J37)</f>
        <v>5630000</v>
      </c>
      <c r="K49" s="239">
        <f t="shared" si="52"/>
        <v>153815500</v>
      </c>
      <c r="L49" s="239">
        <f t="shared" si="52"/>
        <v>5630000</v>
      </c>
      <c r="M49" s="239">
        <f t="shared" si="52"/>
        <v>159445500</v>
      </c>
      <c r="N49" s="239">
        <f t="shared" si="52"/>
        <v>10941900</v>
      </c>
      <c r="O49" s="240">
        <f>(K49-B49)/B49</f>
        <v>7.6584477468195661E-2</v>
      </c>
      <c r="P49" s="79"/>
    </row>
    <row r="50" spans="1:16" s="60" customFormat="1" x14ac:dyDescent="0.35">
      <c r="A50" s="63"/>
      <c r="B50" s="175"/>
      <c r="C50" s="63"/>
      <c r="D50" s="215"/>
      <c r="E50" s="63"/>
      <c r="F50" s="141"/>
      <c r="G50" s="141"/>
      <c r="H50" s="141"/>
      <c r="I50" s="143"/>
      <c r="J50" s="143"/>
      <c r="K50" s="141"/>
      <c r="L50" s="141"/>
      <c r="M50" s="141"/>
      <c r="N50" s="141"/>
      <c r="O50" s="217"/>
    </row>
    <row r="51" spans="1:16" s="60" customFormat="1" x14ac:dyDescent="0.35">
      <c r="A51" s="74" t="s">
        <v>33</v>
      </c>
      <c r="B51" s="182">
        <f t="shared" ref="B51:N51" si="53">B11+B26+B49</f>
        <v>475241300</v>
      </c>
      <c r="C51" s="250">
        <f t="shared" si="53"/>
        <v>-103600</v>
      </c>
      <c r="D51" s="228">
        <f t="shared" si="53"/>
        <v>475137700</v>
      </c>
      <c r="E51" s="250">
        <f t="shared" si="53"/>
        <v>7322800</v>
      </c>
      <c r="F51" s="251">
        <f t="shared" si="53"/>
        <v>17065100</v>
      </c>
      <c r="G51" s="251">
        <f t="shared" si="53"/>
        <v>1757600</v>
      </c>
      <c r="H51" s="251">
        <f t="shared" si="53"/>
        <v>0</v>
      </c>
      <c r="I51" s="228">
        <f t="shared" si="53"/>
        <v>10085000</v>
      </c>
      <c r="J51" s="228">
        <f t="shared" si="53"/>
        <v>5630000</v>
      </c>
      <c r="K51" s="251">
        <f t="shared" si="53"/>
        <v>511368200</v>
      </c>
      <c r="L51" s="251">
        <f t="shared" si="53"/>
        <v>5630000</v>
      </c>
      <c r="M51" s="251">
        <f t="shared" si="53"/>
        <v>516998200</v>
      </c>
      <c r="N51" s="251">
        <f t="shared" si="53"/>
        <v>36126900</v>
      </c>
      <c r="O51" s="252">
        <f>(K51-B51)/B51</f>
        <v>7.6018014427618144E-2</v>
      </c>
      <c r="P51" s="79"/>
    </row>
    <row r="52" spans="1:16" s="60" customFormat="1" x14ac:dyDescent="0.35">
      <c r="A52" s="63"/>
      <c r="B52" s="174"/>
      <c r="C52" s="253"/>
      <c r="D52" s="226"/>
      <c r="E52" s="253"/>
      <c r="F52" s="239"/>
      <c r="G52" s="239"/>
      <c r="H52" s="239"/>
      <c r="I52" s="226"/>
      <c r="J52" s="226"/>
      <c r="K52" s="239"/>
      <c r="L52" s="239"/>
      <c r="M52" s="239"/>
      <c r="N52" s="239"/>
      <c r="O52" s="240"/>
    </row>
    <row r="53" spans="1:16" s="60" customFormat="1" x14ac:dyDescent="0.35">
      <c r="A53" s="67" t="s">
        <v>34</v>
      </c>
      <c r="B53" s="179">
        <f>B51+'2021-22 Form Distr'!B27</f>
        <v>1643463500</v>
      </c>
      <c r="C53" s="118">
        <f>C51</f>
        <v>-103600</v>
      </c>
      <c r="D53" s="117">
        <f>D51+'2021-22 Form Distr'!D27</f>
        <v>1643359900</v>
      </c>
      <c r="E53" s="118">
        <f>E51+'2021-22 Form Distr'!E27</f>
        <v>43322800</v>
      </c>
      <c r="F53" s="116">
        <f>F51+'2021-22 Form Distr'!F27</f>
        <v>62465700</v>
      </c>
      <c r="G53" s="116">
        <f>G51+'2021-22 Form Distr'!G27</f>
        <v>8231000</v>
      </c>
      <c r="H53" s="116">
        <f>H51+'2021-22 Form Distr'!H27</f>
        <v>0</v>
      </c>
      <c r="I53" s="117">
        <f>I51+'2021-22 Form Distr'!I27</f>
        <v>10085000</v>
      </c>
      <c r="J53" s="117">
        <f>J51+'2021-22 Form Distr'!J27</f>
        <v>9417600</v>
      </c>
      <c r="K53" s="116">
        <f>K51+'2021-22 Form Distr'!K27</f>
        <v>1767464400</v>
      </c>
      <c r="L53" s="116">
        <f>L51+'2021-22 Form Distr'!L27</f>
        <v>9417600</v>
      </c>
      <c r="M53" s="116">
        <f>M51+'2021-22 Form Distr'!M27</f>
        <v>1776882000</v>
      </c>
      <c r="N53" s="116">
        <f>N51+'2021-22 Form Distr'!N27</f>
        <v>124000900</v>
      </c>
      <c r="O53" s="234">
        <f>(K53-B53)/B53</f>
        <v>7.5450960730189628E-2</v>
      </c>
      <c r="P53" s="79"/>
    </row>
    <row r="54" spans="1:16" s="60" customFormat="1" x14ac:dyDescent="0.35">
      <c r="A54" s="63"/>
      <c r="B54" s="175"/>
      <c r="C54" s="63"/>
      <c r="D54" s="143"/>
      <c r="E54" s="63"/>
      <c r="F54" s="141"/>
      <c r="G54" s="141"/>
      <c r="H54" s="141"/>
      <c r="I54" s="143"/>
      <c r="J54" s="143"/>
      <c r="K54" s="141"/>
      <c r="L54" s="141"/>
      <c r="M54" s="141"/>
      <c r="N54" s="141"/>
      <c r="O54" s="217"/>
    </row>
    <row r="55" spans="1:16" s="60" customFormat="1" x14ac:dyDescent="0.35">
      <c r="A55" s="65" t="s">
        <v>35</v>
      </c>
      <c r="B55" s="175"/>
      <c r="C55" s="63"/>
      <c r="D55" s="143"/>
      <c r="E55" s="63"/>
      <c r="F55" s="141"/>
      <c r="G55" s="141"/>
      <c r="H55" s="141"/>
      <c r="I55" s="143"/>
      <c r="J55" s="143"/>
      <c r="K55" s="141"/>
      <c r="L55" s="141"/>
      <c r="M55" s="141"/>
      <c r="N55" s="141"/>
      <c r="O55" s="217"/>
    </row>
    <row r="56" spans="1:16" s="60" customFormat="1" x14ac:dyDescent="0.35">
      <c r="A56" s="63" t="s">
        <v>36</v>
      </c>
      <c r="B56" s="172">
        <v>18379300</v>
      </c>
      <c r="C56" s="211">
        <v>0</v>
      </c>
      <c r="D56" s="111">
        <f t="shared" ref="D56:D74" si="54">SUM(B56:C56)</f>
        <v>18379300</v>
      </c>
      <c r="E56" s="211">
        <v>0</v>
      </c>
      <c r="F56" s="110">
        <v>658900</v>
      </c>
      <c r="G56" s="110">
        <v>0</v>
      </c>
      <c r="H56" s="110">
        <v>0</v>
      </c>
      <c r="I56" s="111">
        <v>0</v>
      </c>
      <c r="J56" s="111">
        <v>0</v>
      </c>
      <c r="K56" s="110">
        <f t="shared" ref="K56:K61" si="55">SUM(D56,E56:I56)</f>
        <v>19038200</v>
      </c>
      <c r="L56" s="110">
        <f t="shared" ref="L56:L61" si="56">SUM(J56:J56)</f>
        <v>0</v>
      </c>
      <c r="M56" s="110">
        <f t="shared" ref="M56:M63" si="57">K56+L56</f>
        <v>19038200</v>
      </c>
      <c r="N56" s="110">
        <f t="shared" ref="N56:N61" si="58">K56-B56</f>
        <v>658900</v>
      </c>
      <c r="O56" s="217">
        <f t="shared" ref="O56:O63" si="59">(K56-B56)/B56</f>
        <v>3.585011398693095E-2</v>
      </c>
    </row>
    <row r="57" spans="1:16" s="60" customFormat="1" x14ac:dyDescent="0.35">
      <c r="A57" s="63" t="s">
        <v>37</v>
      </c>
      <c r="B57" s="173">
        <v>1340000</v>
      </c>
      <c r="C57" s="214">
        <v>0</v>
      </c>
      <c r="D57" s="215">
        <f t="shared" si="54"/>
        <v>1340000</v>
      </c>
      <c r="E57" s="214">
        <v>0</v>
      </c>
      <c r="F57" s="216">
        <v>40400</v>
      </c>
      <c r="G57" s="216">
        <v>0</v>
      </c>
      <c r="H57" s="216">
        <v>0</v>
      </c>
      <c r="I57" s="215">
        <v>0</v>
      </c>
      <c r="J57" s="215">
        <v>0</v>
      </c>
      <c r="K57" s="216">
        <f t="shared" si="55"/>
        <v>1380400</v>
      </c>
      <c r="L57" s="216">
        <f t="shared" si="56"/>
        <v>0</v>
      </c>
      <c r="M57" s="216">
        <f t="shared" si="57"/>
        <v>1380400</v>
      </c>
      <c r="N57" s="216">
        <f t="shared" si="58"/>
        <v>40400</v>
      </c>
      <c r="O57" s="217">
        <f t="shared" si="59"/>
        <v>3.0149253731343282E-2</v>
      </c>
    </row>
    <row r="58" spans="1:16" s="60" customFormat="1" ht="15.75" customHeight="1" x14ac:dyDescent="0.35">
      <c r="A58" s="63" t="s">
        <v>92</v>
      </c>
      <c r="B58" s="173">
        <v>1211800</v>
      </c>
      <c r="C58" s="214">
        <v>0</v>
      </c>
      <c r="D58" s="215">
        <f t="shared" si="54"/>
        <v>1211800</v>
      </c>
      <c r="E58" s="214">
        <v>0</v>
      </c>
      <c r="F58" s="216">
        <v>0</v>
      </c>
      <c r="G58" s="216">
        <v>0</v>
      </c>
      <c r="H58" s="216">
        <v>0</v>
      </c>
      <c r="I58" s="215">
        <v>0</v>
      </c>
      <c r="J58" s="215">
        <v>0</v>
      </c>
      <c r="K58" s="216">
        <f t="shared" si="55"/>
        <v>1211800</v>
      </c>
      <c r="L58" s="216">
        <f t="shared" si="56"/>
        <v>0</v>
      </c>
      <c r="M58" s="216">
        <f t="shared" si="57"/>
        <v>1211800</v>
      </c>
      <c r="N58" s="216">
        <f t="shared" si="58"/>
        <v>0</v>
      </c>
      <c r="O58" s="217">
        <f t="shared" si="59"/>
        <v>0</v>
      </c>
    </row>
    <row r="59" spans="1:16" s="60" customFormat="1" x14ac:dyDescent="0.35">
      <c r="A59" s="63" t="s">
        <v>38</v>
      </c>
      <c r="B59" s="180">
        <v>5806700</v>
      </c>
      <c r="C59" s="214">
        <v>0</v>
      </c>
      <c r="D59" s="215">
        <f t="shared" si="54"/>
        <v>5806700</v>
      </c>
      <c r="E59" s="214">
        <v>0</v>
      </c>
      <c r="F59" s="216">
        <v>0</v>
      </c>
      <c r="G59" s="216">
        <v>0</v>
      </c>
      <c r="H59" s="216">
        <v>0</v>
      </c>
      <c r="I59" s="215">
        <v>0</v>
      </c>
      <c r="J59" s="215">
        <v>0</v>
      </c>
      <c r="K59" s="216">
        <f t="shared" si="55"/>
        <v>5806700</v>
      </c>
      <c r="L59" s="216">
        <f t="shared" si="56"/>
        <v>0</v>
      </c>
      <c r="M59" s="216">
        <f t="shared" si="57"/>
        <v>5806700</v>
      </c>
      <c r="N59" s="216">
        <f t="shared" si="58"/>
        <v>0</v>
      </c>
      <c r="O59" s="217">
        <f t="shared" si="59"/>
        <v>0</v>
      </c>
    </row>
    <row r="60" spans="1:16" s="60" customFormat="1" x14ac:dyDescent="0.35">
      <c r="A60" s="63" t="s">
        <v>39</v>
      </c>
      <c r="B60" s="180">
        <v>10256900</v>
      </c>
      <c r="C60" s="214">
        <v>0</v>
      </c>
      <c r="D60" s="215">
        <f t="shared" si="54"/>
        <v>10256900</v>
      </c>
      <c r="E60" s="214">
        <v>0</v>
      </c>
      <c r="F60" s="216">
        <v>0</v>
      </c>
      <c r="G60" s="216">
        <v>0</v>
      </c>
      <c r="H60" s="216">
        <v>0</v>
      </c>
      <c r="I60" s="215">
        <v>0</v>
      </c>
      <c r="J60" s="215">
        <v>0</v>
      </c>
      <c r="K60" s="216">
        <f t="shared" si="55"/>
        <v>10256900</v>
      </c>
      <c r="L60" s="216">
        <f t="shared" si="56"/>
        <v>0</v>
      </c>
      <c r="M60" s="216">
        <f>K60+L60</f>
        <v>10256900</v>
      </c>
      <c r="N60" s="216">
        <f t="shared" si="58"/>
        <v>0</v>
      </c>
      <c r="O60" s="217">
        <f t="shared" si="59"/>
        <v>0</v>
      </c>
    </row>
    <row r="61" spans="1:16" s="60" customFormat="1" x14ac:dyDescent="0.35">
      <c r="A61" s="66" t="s">
        <v>41</v>
      </c>
      <c r="B61" s="180">
        <v>5852900</v>
      </c>
      <c r="C61" s="214">
        <v>0</v>
      </c>
      <c r="D61" s="215">
        <f>SUM(B61:C61)</f>
        <v>5852900</v>
      </c>
      <c r="E61" s="214">
        <v>0</v>
      </c>
      <c r="F61" s="216">
        <v>0</v>
      </c>
      <c r="G61" s="216">
        <v>0</v>
      </c>
      <c r="H61" s="216">
        <v>0</v>
      </c>
      <c r="I61" s="215">
        <v>0</v>
      </c>
      <c r="J61" s="215">
        <v>0</v>
      </c>
      <c r="K61" s="216">
        <f t="shared" si="55"/>
        <v>5852900</v>
      </c>
      <c r="L61" s="216">
        <f t="shared" si="56"/>
        <v>0</v>
      </c>
      <c r="M61" s="216">
        <f>K61+L61</f>
        <v>5852900</v>
      </c>
      <c r="N61" s="216">
        <f t="shared" si="58"/>
        <v>0</v>
      </c>
      <c r="O61" s="217">
        <f t="shared" si="59"/>
        <v>0</v>
      </c>
    </row>
    <row r="62" spans="1:16" s="60" customFormat="1" x14ac:dyDescent="0.35">
      <c r="A62" s="63" t="s">
        <v>40</v>
      </c>
      <c r="B62" s="180">
        <f t="shared" ref="B62:N62" si="60">SUM(B63:B74)</f>
        <v>11089000</v>
      </c>
      <c r="C62" s="214">
        <f t="shared" si="60"/>
        <v>-1171800</v>
      </c>
      <c r="D62" s="215">
        <f t="shared" si="60"/>
        <v>9917200</v>
      </c>
      <c r="E62" s="214">
        <f t="shared" si="60"/>
        <v>0</v>
      </c>
      <c r="F62" s="216">
        <f t="shared" si="60"/>
        <v>0</v>
      </c>
      <c r="G62" s="216">
        <f t="shared" si="60"/>
        <v>0</v>
      </c>
      <c r="H62" s="216">
        <f t="shared" si="60"/>
        <v>0</v>
      </c>
      <c r="I62" s="215">
        <f t="shared" si="60"/>
        <v>0</v>
      </c>
      <c r="J62" s="215">
        <f t="shared" si="60"/>
        <v>13000000</v>
      </c>
      <c r="K62" s="216">
        <f t="shared" si="60"/>
        <v>9917200</v>
      </c>
      <c r="L62" s="216">
        <f t="shared" si="60"/>
        <v>13000000</v>
      </c>
      <c r="M62" s="216">
        <f t="shared" si="60"/>
        <v>22917200</v>
      </c>
      <c r="N62" s="216">
        <f t="shared" si="60"/>
        <v>-1171800</v>
      </c>
      <c r="O62" s="217">
        <f t="shared" si="59"/>
        <v>-0.10567228785282713</v>
      </c>
    </row>
    <row r="63" spans="1:16" s="80" customFormat="1" x14ac:dyDescent="0.35">
      <c r="A63" s="68" t="s">
        <v>87</v>
      </c>
      <c r="B63" s="183">
        <v>5778400</v>
      </c>
      <c r="C63" s="212">
        <f>-20000-132800</f>
        <v>-152800</v>
      </c>
      <c r="D63" s="213">
        <f t="shared" si="54"/>
        <v>5625600</v>
      </c>
      <c r="E63" s="212">
        <v>0</v>
      </c>
      <c r="F63" s="221">
        <v>0</v>
      </c>
      <c r="G63" s="221">
        <v>0</v>
      </c>
      <c r="H63" s="221">
        <v>0</v>
      </c>
      <c r="I63" s="213">
        <v>0</v>
      </c>
      <c r="J63" s="213">
        <v>0</v>
      </c>
      <c r="K63" s="221">
        <f t="shared" ref="K63" si="61">SUM(D63,E63:I63)</f>
        <v>5625600</v>
      </c>
      <c r="L63" s="221">
        <f t="shared" ref="L63" si="62">SUM(J63:J63)</f>
        <v>0</v>
      </c>
      <c r="M63" s="221">
        <f t="shared" si="57"/>
        <v>5625600</v>
      </c>
      <c r="N63" s="221">
        <f t="shared" ref="N63:N74" si="63">K63-B63</f>
        <v>-152800</v>
      </c>
      <c r="O63" s="222">
        <f t="shared" si="59"/>
        <v>-2.644330610549633E-2</v>
      </c>
    </row>
    <row r="64" spans="1:16" s="80" customFormat="1" x14ac:dyDescent="0.35">
      <c r="A64" s="71" t="s">
        <v>108</v>
      </c>
      <c r="B64" s="184">
        <v>150000</v>
      </c>
      <c r="C64" s="243">
        <v>0</v>
      </c>
      <c r="D64" s="227">
        <f t="shared" si="54"/>
        <v>150000</v>
      </c>
      <c r="E64" s="243">
        <v>0</v>
      </c>
      <c r="F64" s="241">
        <v>0</v>
      </c>
      <c r="G64" s="241">
        <v>0</v>
      </c>
      <c r="H64" s="241">
        <v>0</v>
      </c>
      <c r="I64" s="227">
        <v>0</v>
      </c>
      <c r="J64" s="227">
        <v>0</v>
      </c>
      <c r="K64" s="241">
        <f t="shared" ref="K64:K74" si="64">SUM(D64,E64:I64)</f>
        <v>150000</v>
      </c>
      <c r="L64" s="241">
        <f t="shared" ref="L64:L74" si="65">SUM(J64:J64)</f>
        <v>0</v>
      </c>
      <c r="M64" s="241">
        <f t="shared" ref="M64:M74" si="66">K64+L64</f>
        <v>150000</v>
      </c>
      <c r="N64" s="241">
        <f t="shared" ref="N64:N72" si="67">K64-B64</f>
        <v>0</v>
      </c>
      <c r="O64" s="244" t="s">
        <v>69</v>
      </c>
    </row>
    <row r="65" spans="1:17" s="80" customFormat="1" x14ac:dyDescent="0.35">
      <c r="A65" s="71" t="s">
        <v>98</v>
      </c>
      <c r="B65" s="184">
        <v>1250000</v>
      </c>
      <c r="C65" s="243">
        <v>-150000</v>
      </c>
      <c r="D65" s="227">
        <f t="shared" ref="D65:D70" si="68">SUM(B65:C65)</f>
        <v>1100000</v>
      </c>
      <c r="E65" s="243">
        <v>0</v>
      </c>
      <c r="F65" s="241">
        <v>0</v>
      </c>
      <c r="G65" s="241">
        <v>0</v>
      </c>
      <c r="H65" s="241">
        <v>0</v>
      </c>
      <c r="I65" s="227">
        <v>0</v>
      </c>
      <c r="J65" s="227">
        <v>0</v>
      </c>
      <c r="K65" s="241">
        <f t="shared" ref="K65:K70" si="69">SUM(D65,E65:I65)</f>
        <v>1100000</v>
      </c>
      <c r="L65" s="241">
        <f t="shared" ref="L65:L70" si="70">SUM(J65:J65)</f>
        <v>0</v>
      </c>
      <c r="M65" s="241">
        <f t="shared" ref="M65:M70" si="71">K65+L65</f>
        <v>1100000</v>
      </c>
      <c r="N65" s="241">
        <f t="shared" ref="N65" si="72">K65-B65</f>
        <v>-150000</v>
      </c>
      <c r="O65" s="244" t="s">
        <v>69</v>
      </c>
    </row>
    <row r="66" spans="1:17" s="80" customFormat="1" x14ac:dyDescent="0.35">
      <c r="A66" s="71" t="s">
        <v>99</v>
      </c>
      <c r="B66" s="184">
        <v>500000</v>
      </c>
      <c r="C66" s="243">
        <v>-500000</v>
      </c>
      <c r="D66" s="227">
        <f t="shared" si="68"/>
        <v>0</v>
      </c>
      <c r="E66" s="243">
        <v>0</v>
      </c>
      <c r="F66" s="241">
        <v>0</v>
      </c>
      <c r="G66" s="241">
        <v>0</v>
      </c>
      <c r="H66" s="241">
        <v>0</v>
      </c>
      <c r="I66" s="227">
        <v>0</v>
      </c>
      <c r="J66" s="227">
        <v>0</v>
      </c>
      <c r="K66" s="241">
        <f t="shared" si="69"/>
        <v>0</v>
      </c>
      <c r="L66" s="241">
        <f t="shared" si="70"/>
        <v>0</v>
      </c>
      <c r="M66" s="241">
        <f t="shared" si="71"/>
        <v>0</v>
      </c>
      <c r="N66" s="241">
        <f t="shared" ref="N66:N67" si="73">K66-B66</f>
        <v>-500000</v>
      </c>
      <c r="O66" s="244" t="s">
        <v>69</v>
      </c>
    </row>
    <row r="67" spans="1:17" s="80" customFormat="1" x14ac:dyDescent="0.35">
      <c r="A67" s="71" t="s">
        <v>88</v>
      </c>
      <c r="B67" s="184">
        <v>250000</v>
      </c>
      <c r="C67" s="243">
        <v>0</v>
      </c>
      <c r="D67" s="227">
        <f t="shared" si="68"/>
        <v>250000</v>
      </c>
      <c r="E67" s="243">
        <v>0</v>
      </c>
      <c r="F67" s="241">
        <v>0</v>
      </c>
      <c r="G67" s="241">
        <v>0</v>
      </c>
      <c r="H67" s="241">
        <v>0</v>
      </c>
      <c r="I67" s="227">
        <v>0</v>
      </c>
      <c r="J67" s="227">
        <v>0</v>
      </c>
      <c r="K67" s="241">
        <f t="shared" si="69"/>
        <v>250000</v>
      </c>
      <c r="L67" s="241">
        <f t="shared" si="70"/>
        <v>0</v>
      </c>
      <c r="M67" s="241">
        <f t="shared" si="71"/>
        <v>250000</v>
      </c>
      <c r="N67" s="241">
        <f t="shared" si="73"/>
        <v>0</v>
      </c>
      <c r="O67" s="244" t="s">
        <v>69</v>
      </c>
    </row>
    <row r="68" spans="1:17" s="60" customFormat="1" x14ac:dyDescent="0.35">
      <c r="A68" s="71" t="s">
        <v>97</v>
      </c>
      <c r="B68" s="184">
        <v>2210600</v>
      </c>
      <c r="C68" s="243">
        <v>-300000</v>
      </c>
      <c r="D68" s="227">
        <f t="shared" si="68"/>
        <v>1910600</v>
      </c>
      <c r="E68" s="243">
        <v>0</v>
      </c>
      <c r="F68" s="241">
        <v>0</v>
      </c>
      <c r="G68" s="241">
        <v>0</v>
      </c>
      <c r="H68" s="241">
        <v>0</v>
      </c>
      <c r="I68" s="227">
        <v>0</v>
      </c>
      <c r="J68" s="227">
        <v>0</v>
      </c>
      <c r="K68" s="241">
        <f t="shared" si="69"/>
        <v>1910600</v>
      </c>
      <c r="L68" s="241">
        <f t="shared" si="70"/>
        <v>0</v>
      </c>
      <c r="M68" s="241">
        <f t="shared" si="71"/>
        <v>1910600</v>
      </c>
      <c r="N68" s="241">
        <f>K68-B68</f>
        <v>-300000</v>
      </c>
      <c r="O68" s="244" t="s">
        <v>69</v>
      </c>
    </row>
    <row r="69" spans="1:17" s="80" customFormat="1" x14ac:dyDescent="0.35">
      <c r="A69" s="71" t="s">
        <v>86</v>
      </c>
      <c r="B69" s="184">
        <v>950000</v>
      </c>
      <c r="C69" s="243">
        <v>-69000</v>
      </c>
      <c r="D69" s="227">
        <f t="shared" si="68"/>
        <v>881000</v>
      </c>
      <c r="E69" s="243">
        <v>0</v>
      </c>
      <c r="F69" s="241">
        <v>0</v>
      </c>
      <c r="G69" s="241">
        <v>0</v>
      </c>
      <c r="H69" s="241">
        <v>0</v>
      </c>
      <c r="I69" s="227">
        <v>0</v>
      </c>
      <c r="J69" s="227">
        <v>0</v>
      </c>
      <c r="K69" s="241">
        <f t="shared" si="69"/>
        <v>881000</v>
      </c>
      <c r="L69" s="241">
        <f t="shared" si="70"/>
        <v>0</v>
      </c>
      <c r="M69" s="241">
        <f t="shared" si="71"/>
        <v>881000</v>
      </c>
      <c r="N69" s="241">
        <f>K69-B69</f>
        <v>-69000</v>
      </c>
      <c r="O69" s="244" t="s">
        <v>69</v>
      </c>
    </row>
    <row r="70" spans="1:17" s="80" customFormat="1" hidden="1" x14ac:dyDescent="0.35">
      <c r="A70" s="71" t="s">
        <v>110</v>
      </c>
      <c r="B70" s="184">
        <v>0</v>
      </c>
      <c r="C70" s="243">
        <v>0</v>
      </c>
      <c r="D70" s="227">
        <f t="shared" si="68"/>
        <v>0</v>
      </c>
      <c r="E70" s="243">
        <v>0</v>
      </c>
      <c r="F70" s="241">
        <v>0</v>
      </c>
      <c r="G70" s="241">
        <v>0</v>
      </c>
      <c r="H70" s="241">
        <v>0</v>
      </c>
      <c r="I70" s="227">
        <v>0</v>
      </c>
      <c r="J70" s="227">
        <v>0</v>
      </c>
      <c r="K70" s="241">
        <f t="shared" si="69"/>
        <v>0</v>
      </c>
      <c r="L70" s="241">
        <f t="shared" si="70"/>
        <v>0</v>
      </c>
      <c r="M70" s="241">
        <f t="shared" si="71"/>
        <v>0</v>
      </c>
      <c r="N70" s="241">
        <f>K70-B70</f>
        <v>0</v>
      </c>
      <c r="O70" s="244" t="s">
        <v>69</v>
      </c>
    </row>
    <row r="71" spans="1:17" s="80" customFormat="1" x14ac:dyDescent="0.35">
      <c r="A71" s="71" t="s">
        <v>103</v>
      </c>
      <c r="B71" s="184">
        <v>0</v>
      </c>
      <c r="C71" s="243">
        <v>0</v>
      </c>
      <c r="D71" s="227">
        <f t="shared" si="54"/>
        <v>0</v>
      </c>
      <c r="E71" s="243">
        <v>0</v>
      </c>
      <c r="F71" s="241">
        <v>0</v>
      </c>
      <c r="G71" s="241">
        <v>0</v>
      </c>
      <c r="H71" s="241">
        <v>0</v>
      </c>
      <c r="I71" s="227">
        <v>0</v>
      </c>
      <c r="J71" s="227">
        <v>11500000</v>
      </c>
      <c r="K71" s="241">
        <f t="shared" si="64"/>
        <v>0</v>
      </c>
      <c r="L71" s="241">
        <f t="shared" si="65"/>
        <v>11500000</v>
      </c>
      <c r="M71" s="241">
        <f t="shared" si="66"/>
        <v>11500000</v>
      </c>
      <c r="N71" s="241">
        <f t="shared" si="67"/>
        <v>0</v>
      </c>
      <c r="O71" s="244" t="s">
        <v>69</v>
      </c>
    </row>
    <row r="72" spans="1:17" s="80" customFormat="1" x14ac:dyDescent="0.35">
      <c r="A72" s="72" t="s">
        <v>114</v>
      </c>
      <c r="B72" s="185">
        <v>0</v>
      </c>
      <c r="C72" s="223">
        <v>0</v>
      </c>
      <c r="D72" s="224">
        <f t="shared" si="54"/>
        <v>0</v>
      </c>
      <c r="E72" s="223">
        <v>0</v>
      </c>
      <c r="F72" s="235">
        <v>0</v>
      </c>
      <c r="G72" s="235">
        <v>0</v>
      </c>
      <c r="H72" s="235">
        <v>0</v>
      </c>
      <c r="I72" s="224">
        <v>0</v>
      </c>
      <c r="J72" s="224">
        <v>1500000</v>
      </c>
      <c r="K72" s="235">
        <f t="shared" si="64"/>
        <v>0</v>
      </c>
      <c r="L72" s="235">
        <f t="shared" si="65"/>
        <v>1500000</v>
      </c>
      <c r="M72" s="235">
        <f t="shared" si="66"/>
        <v>1500000</v>
      </c>
      <c r="N72" s="235">
        <f t="shared" si="67"/>
        <v>0</v>
      </c>
      <c r="O72" s="236" t="s">
        <v>69</v>
      </c>
    </row>
    <row r="73" spans="1:17" s="80" customFormat="1" hidden="1" x14ac:dyDescent="0.35">
      <c r="A73" s="71" t="s">
        <v>109</v>
      </c>
      <c r="B73" s="184">
        <v>0</v>
      </c>
      <c r="C73" s="243">
        <v>0</v>
      </c>
      <c r="D73" s="227">
        <f>SUM(B73:C73)</f>
        <v>0</v>
      </c>
      <c r="E73" s="243">
        <v>0</v>
      </c>
      <c r="F73" s="241">
        <v>0</v>
      </c>
      <c r="G73" s="241">
        <v>0</v>
      </c>
      <c r="H73" s="241">
        <v>0</v>
      </c>
      <c r="I73" s="227">
        <v>0</v>
      </c>
      <c r="J73" s="227">
        <v>0</v>
      </c>
      <c r="K73" s="241">
        <f>SUM(D73,E73:I73)</f>
        <v>0</v>
      </c>
      <c r="L73" s="241">
        <f>SUM(J73:J73)</f>
        <v>0</v>
      </c>
      <c r="M73" s="241">
        <f>K73+L73</f>
        <v>0</v>
      </c>
      <c r="N73" s="241">
        <f t="shared" ref="N73" si="74">K73-B73</f>
        <v>0</v>
      </c>
      <c r="O73" s="244" t="s">
        <v>69</v>
      </c>
    </row>
    <row r="74" spans="1:17" s="80" customFormat="1" hidden="1" x14ac:dyDescent="0.35">
      <c r="A74" s="72" t="s">
        <v>85</v>
      </c>
      <c r="B74" s="185">
        <v>0</v>
      </c>
      <c r="C74" s="223">
        <v>0</v>
      </c>
      <c r="D74" s="224">
        <f t="shared" si="54"/>
        <v>0</v>
      </c>
      <c r="E74" s="223">
        <v>0</v>
      </c>
      <c r="F74" s="235">
        <v>0</v>
      </c>
      <c r="G74" s="235">
        <v>0</v>
      </c>
      <c r="H74" s="235">
        <v>0</v>
      </c>
      <c r="I74" s="224">
        <v>0</v>
      </c>
      <c r="J74" s="224">
        <v>0</v>
      </c>
      <c r="K74" s="235">
        <f t="shared" si="64"/>
        <v>0</v>
      </c>
      <c r="L74" s="235">
        <f t="shared" si="65"/>
        <v>0</v>
      </c>
      <c r="M74" s="235">
        <f t="shared" si="66"/>
        <v>0</v>
      </c>
      <c r="N74" s="235">
        <f t="shared" si="63"/>
        <v>0</v>
      </c>
      <c r="O74" s="236" t="s">
        <v>69</v>
      </c>
    </row>
    <row r="75" spans="1:17" s="60" customFormat="1" x14ac:dyDescent="0.35">
      <c r="A75" s="67" t="s">
        <v>7</v>
      </c>
      <c r="B75" s="179">
        <f t="shared" ref="B75:N75" si="75">SUM(B56:B62)</f>
        <v>53936600</v>
      </c>
      <c r="C75" s="118">
        <f t="shared" si="75"/>
        <v>-1171800</v>
      </c>
      <c r="D75" s="117">
        <f t="shared" si="75"/>
        <v>52764800</v>
      </c>
      <c r="E75" s="118">
        <f t="shared" si="75"/>
        <v>0</v>
      </c>
      <c r="F75" s="116">
        <f t="shared" si="75"/>
        <v>699300</v>
      </c>
      <c r="G75" s="116">
        <f t="shared" si="75"/>
        <v>0</v>
      </c>
      <c r="H75" s="116">
        <f t="shared" si="75"/>
        <v>0</v>
      </c>
      <c r="I75" s="117">
        <f t="shared" si="75"/>
        <v>0</v>
      </c>
      <c r="J75" s="117">
        <f t="shared" si="75"/>
        <v>13000000</v>
      </c>
      <c r="K75" s="116">
        <f t="shared" si="75"/>
        <v>53464100</v>
      </c>
      <c r="L75" s="116">
        <f t="shared" si="75"/>
        <v>13000000</v>
      </c>
      <c r="M75" s="116">
        <f t="shared" si="75"/>
        <v>66464100</v>
      </c>
      <c r="N75" s="116">
        <f t="shared" si="75"/>
        <v>-472500</v>
      </c>
      <c r="O75" s="234">
        <f>(K75-B75)/B75</f>
        <v>-8.7602852237627146E-3</v>
      </c>
    </row>
    <row r="76" spans="1:17" s="60" customFormat="1" x14ac:dyDescent="0.35">
      <c r="A76" s="63"/>
      <c r="B76" s="175"/>
      <c r="C76" s="63"/>
      <c r="D76" s="143"/>
      <c r="E76" s="63"/>
      <c r="F76" s="141"/>
      <c r="G76" s="141"/>
      <c r="H76" s="141"/>
      <c r="I76" s="143"/>
      <c r="J76" s="143"/>
      <c r="K76" s="141"/>
      <c r="L76" s="141"/>
      <c r="M76" s="141"/>
      <c r="N76" s="141"/>
      <c r="O76" s="217"/>
    </row>
    <row r="77" spans="1:17" s="60" customFormat="1" ht="18.75" thickBot="1" x14ac:dyDescent="0.4">
      <c r="A77" s="75" t="s">
        <v>71</v>
      </c>
      <c r="B77" s="186">
        <f t="shared" ref="B77:N77" si="76">B53+B75</f>
        <v>1697400100</v>
      </c>
      <c r="C77" s="124">
        <f t="shared" si="76"/>
        <v>-1275400</v>
      </c>
      <c r="D77" s="144">
        <f t="shared" si="76"/>
        <v>1696124700</v>
      </c>
      <c r="E77" s="124">
        <f t="shared" si="76"/>
        <v>43322800</v>
      </c>
      <c r="F77" s="142">
        <f t="shared" si="76"/>
        <v>63165000</v>
      </c>
      <c r="G77" s="142">
        <f t="shared" si="76"/>
        <v>8231000</v>
      </c>
      <c r="H77" s="142">
        <f t="shared" si="76"/>
        <v>0</v>
      </c>
      <c r="I77" s="144">
        <f t="shared" si="76"/>
        <v>10085000</v>
      </c>
      <c r="J77" s="144">
        <f t="shared" si="76"/>
        <v>22417600</v>
      </c>
      <c r="K77" s="142">
        <f t="shared" si="76"/>
        <v>1820928500</v>
      </c>
      <c r="L77" s="142">
        <f t="shared" si="76"/>
        <v>22417600</v>
      </c>
      <c r="M77" s="142">
        <f t="shared" si="76"/>
        <v>1843346100</v>
      </c>
      <c r="N77" s="142">
        <f t="shared" si="76"/>
        <v>123528400</v>
      </c>
      <c r="O77" s="257">
        <f>(K77-B77)/B77</f>
        <v>7.277506346323416E-2</v>
      </c>
      <c r="P77" s="79"/>
    </row>
    <row r="78" spans="1:17" s="60" customFormat="1" ht="20.25" customHeight="1" thickBot="1" x14ac:dyDescent="0.4">
      <c r="A78" s="76"/>
      <c r="B78" s="187"/>
      <c r="C78" s="256"/>
      <c r="D78" s="229"/>
      <c r="E78" s="256"/>
      <c r="F78" s="76"/>
      <c r="G78" s="76"/>
      <c r="H78" s="76"/>
      <c r="I78" s="76"/>
      <c r="J78" s="76"/>
      <c r="K78" s="76"/>
      <c r="L78" s="76"/>
      <c r="M78" s="258"/>
      <c r="N78" s="76"/>
      <c r="O78" s="76"/>
      <c r="P78" s="259"/>
      <c r="Q78" s="260"/>
    </row>
    <row r="79" spans="1:17" s="60" customFormat="1" ht="18.75" thickBot="1" x14ac:dyDescent="0.4">
      <c r="A79" s="77" t="s">
        <v>93</v>
      </c>
      <c r="B79" s="188">
        <v>40000000</v>
      </c>
      <c r="C79" s="188">
        <v>0</v>
      </c>
      <c r="D79" s="230">
        <f>SUM(B79:C79)</f>
        <v>40000000</v>
      </c>
      <c r="E79" s="188">
        <v>10000000</v>
      </c>
      <c r="F79" s="245">
        <v>0</v>
      </c>
      <c r="G79" s="245">
        <v>0</v>
      </c>
      <c r="H79" s="245">
        <v>0</v>
      </c>
      <c r="I79" s="245">
        <v>0</v>
      </c>
      <c r="J79" s="246">
        <v>0</v>
      </c>
      <c r="K79" s="247">
        <f>SUM(D79,E79:I79)</f>
        <v>50000000</v>
      </c>
      <c r="L79" s="245">
        <f>SUM(J79:J79)</f>
        <v>0</v>
      </c>
      <c r="M79" s="248">
        <f t="shared" ref="M79" si="77">K79+L79</f>
        <v>50000000</v>
      </c>
      <c r="N79" s="248">
        <f>K79-B79</f>
        <v>10000000</v>
      </c>
      <c r="O79" s="249">
        <f t="shared" ref="O79" si="78">(K79-B79)/B79</f>
        <v>0.25</v>
      </c>
      <c r="P79" s="79"/>
    </row>
    <row r="80" spans="1:17" s="60" customFormat="1" ht="20.25" hidden="1" customHeight="1" thickBot="1" x14ac:dyDescent="0.4">
      <c r="A80" s="76"/>
      <c r="B80" s="187"/>
      <c r="C80" s="256"/>
      <c r="D80" s="229"/>
      <c r="E80" s="256"/>
      <c r="F80" s="76"/>
      <c r="G80" s="76"/>
      <c r="H80" s="76"/>
      <c r="I80" s="76"/>
      <c r="J80" s="76"/>
      <c r="K80" s="76"/>
      <c r="L80" s="76"/>
      <c r="M80" s="258"/>
      <c r="N80" s="76"/>
      <c r="O80" s="76"/>
      <c r="P80" s="259"/>
      <c r="Q80" s="260"/>
    </row>
    <row r="81" spans="1:17" s="60" customFormat="1" ht="18.75" hidden="1" thickBot="1" x14ac:dyDescent="0.4">
      <c r="A81" s="77" t="s">
        <v>106</v>
      </c>
      <c r="B81" s="188">
        <v>0</v>
      </c>
      <c r="C81" s="188">
        <v>0</v>
      </c>
      <c r="D81" s="230">
        <f>SUM(B81:C81)</f>
        <v>0</v>
      </c>
      <c r="E81" s="188">
        <v>0</v>
      </c>
      <c r="F81" s="245">
        <v>0</v>
      </c>
      <c r="G81" s="245">
        <v>0</v>
      </c>
      <c r="H81" s="245">
        <v>0</v>
      </c>
      <c r="I81" s="245">
        <v>0</v>
      </c>
      <c r="J81" s="245">
        <v>0</v>
      </c>
      <c r="K81" s="247">
        <f>SUM(D81,E81:I81)</f>
        <v>0</v>
      </c>
      <c r="L81" s="245">
        <f>SUM(J81:J81)</f>
        <v>0</v>
      </c>
      <c r="M81" s="248">
        <f t="shared" ref="M81" si="79">K81+L81</f>
        <v>0</v>
      </c>
      <c r="N81" s="248">
        <f>K81-B81</f>
        <v>0</v>
      </c>
      <c r="O81" s="249" t="s">
        <v>69</v>
      </c>
      <c r="P81" s="79"/>
    </row>
    <row r="82" spans="1:17" s="60" customFormat="1" ht="20.25" customHeight="1" thickBot="1" x14ac:dyDescent="0.4">
      <c r="A82" s="76"/>
      <c r="C82" s="187"/>
      <c r="D82" s="187"/>
      <c r="E82" s="256"/>
      <c r="F82" s="76"/>
      <c r="G82" s="76"/>
      <c r="H82" s="76"/>
      <c r="I82" s="76"/>
      <c r="J82" s="76"/>
      <c r="K82" s="76"/>
      <c r="L82" s="76"/>
      <c r="M82" s="258">
        <f>M77+M79</f>
        <v>1893346100</v>
      </c>
      <c r="N82" s="76"/>
      <c r="O82" s="76"/>
      <c r="P82" s="261"/>
      <c r="Q82" s="260"/>
    </row>
    <row r="83" spans="1:17" s="60" customFormat="1" ht="18.75" thickBot="1" x14ac:dyDescent="0.4">
      <c r="A83" s="78" t="s">
        <v>79</v>
      </c>
      <c r="B83" s="189">
        <v>389500000</v>
      </c>
      <c r="C83" s="189">
        <v>-20500000</v>
      </c>
      <c r="D83" s="231">
        <f>SUM(B83:C83)</f>
        <v>369000000</v>
      </c>
      <c r="E83" s="189">
        <v>0</v>
      </c>
      <c r="F83" s="262">
        <v>0</v>
      </c>
      <c r="G83" s="262">
        <v>0</v>
      </c>
      <c r="H83" s="262">
        <v>0</v>
      </c>
      <c r="I83" s="262">
        <v>0</v>
      </c>
      <c r="J83" s="263">
        <v>0</v>
      </c>
      <c r="K83" s="264">
        <f>SUM(D83,E83:I83)</f>
        <v>369000000</v>
      </c>
      <c r="L83" s="262">
        <f>SUM(J83:J83)</f>
        <v>0</v>
      </c>
      <c r="M83" s="265">
        <f t="shared" ref="M83" si="80">K83+L83</f>
        <v>369000000</v>
      </c>
      <c r="N83" s="265">
        <f>K83-B83</f>
        <v>-20500000</v>
      </c>
      <c r="O83" s="266">
        <f>(K83-B83)/B83</f>
        <v>-5.2631578947368418E-2</v>
      </c>
      <c r="P83" s="79"/>
    </row>
    <row r="84" spans="1:17" s="60" customFormat="1" ht="18.75" thickBot="1" x14ac:dyDescent="0.4">
      <c r="D84" s="232"/>
      <c r="F84" s="232"/>
      <c r="G84" s="232"/>
      <c r="H84" s="232"/>
      <c r="I84" s="232"/>
      <c r="J84" s="232"/>
      <c r="K84" s="233"/>
      <c r="L84" s="233"/>
      <c r="M84" s="267"/>
      <c r="N84" s="233"/>
      <c r="O84" s="232"/>
      <c r="P84" s="268"/>
      <c r="Q84" s="268"/>
    </row>
    <row r="85" spans="1:17" s="60" customFormat="1" ht="18.75" thickBot="1" x14ac:dyDescent="0.4">
      <c r="A85" s="77" t="s">
        <v>105</v>
      </c>
      <c r="B85" s="190">
        <f>B77+B79+B81+B83</f>
        <v>2126900100</v>
      </c>
      <c r="C85" s="188">
        <f t="shared" ref="C85:M85" si="81">C77+C79+C81+C83</f>
        <v>-21775400</v>
      </c>
      <c r="D85" s="230">
        <f t="shared" si="81"/>
        <v>2105124700</v>
      </c>
      <c r="E85" s="188">
        <f t="shared" si="81"/>
        <v>53322800</v>
      </c>
      <c r="F85" s="245">
        <f t="shared" si="81"/>
        <v>63165000</v>
      </c>
      <c r="G85" s="245">
        <f t="shared" si="81"/>
        <v>8231000</v>
      </c>
      <c r="H85" s="245">
        <f t="shared" si="81"/>
        <v>0</v>
      </c>
      <c r="I85" s="245">
        <f t="shared" si="81"/>
        <v>10085000</v>
      </c>
      <c r="J85" s="246">
        <f t="shared" si="81"/>
        <v>22417600</v>
      </c>
      <c r="K85" s="245">
        <f t="shared" si="81"/>
        <v>2239928500</v>
      </c>
      <c r="L85" s="245">
        <f t="shared" si="81"/>
        <v>22417600</v>
      </c>
      <c r="M85" s="248">
        <f t="shared" si="81"/>
        <v>2262346100</v>
      </c>
      <c r="N85" s="248">
        <f>N77+N79+N81+N83</f>
        <v>113028400</v>
      </c>
      <c r="O85" s="249">
        <f>(K85-B85)/B85</f>
        <v>5.3142317309590612E-2</v>
      </c>
      <c r="P85" s="268"/>
      <c r="Q85" s="268"/>
    </row>
    <row r="86" spans="1:17" x14ac:dyDescent="0.35">
      <c r="B86" s="191"/>
      <c r="C86" s="23"/>
      <c r="D86" s="232"/>
      <c r="E86" s="232"/>
      <c r="F86" s="23"/>
      <c r="G86" s="23"/>
      <c r="H86" s="23"/>
      <c r="I86" s="23"/>
      <c r="J86" s="23"/>
      <c r="K86" s="23"/>
      <c r="L86" s="24"/>
      <c r="M86" s="25"/>
      <c r="N86" s="24"/>
      <c r="O86" s="23"/>
    </row>
    <row r="87" spans="1:17" x14ac:dyDescent="0.35">
      <c r="B87" s="269"/>
      <c r="C87" s="23"/>
      <c r="D87" s="233"/>
      <c r="E87" s="232"/>
      <c r="F87" s="23"/>
      <c r="G87" s="23"/>
      <c r="H87" s="23"/>
      <c r="I87" s="23"/>
      <c r="J87" s="23"/>
      <c r="K87" s="24"/>
      <c r="L87" s="26"/>
      <c r="M87" s="25"/>
      <c r="N87" s="24"/>
      <c r="O87" s="23"/>
    </row>
    <row r="88" spans="1:17" x14ac:dyDescent="0.35">
      <c r="B88" s="191"/>
      <c r="C88" s="23"/>
      <c r="D88" s="270"/>
      <c r="E88" s="232"/>
      <c r="F88" s="27"/>
      <c r="G88" s="27"/>
      <c r="H88" s="23"/>
      <c r="I88" s="23"/>
      <c r="J88" s="23"/>
      <c r="K88" s="28"/>
      <c r="L88" s="24"/>
      <c r="M88" s="25"/>
      <c r="N88" s="24"/>
      <c r="O88" s="23"/>
      <c r="P88" s="268"/>
      <c r="Q88" s="268"/>
    </row>
    <row r="89" spans="1:17" x14ac:dyDescent="0.35">
      <c r="B89" s="191"/>
      <c r="C89" s="23"/>
      <c r="D89" s="232"/>
      <c r="E89" s="232"/>
      <c r="F89" s="29"/>
      <c r="G89" s="29"/>
      <c r="H89" s="23"/>
      <c r="I89" s="23"/>
      <c r="J89" s="23"/>
      <c r="K89" s="28"/>
      <c r="L89" s="24"/>
      <c r="M89" s="25"/>
      <c r="N89" s="24"/>
      <c r="O89" s="23"/>
      <c r="P89" s="268"/>
      <c r="Q89" s="268"/>
    </row>
    <row r="90" spans="1:17" x14ac:dyDescent="0.35">
      <c r="M90" s="30"/>
      <c r="N90" s="3"/>
    </row>
    <row r="91" spans="1:17" x14ac:dyDescent="0.35">
      <c r="M91" s="3"/>
      <c r="N91" s="3"/>
    </row>
    <row r="94" spans="1:17" x14ac:dyDescent="0.35">
      <c r="C94" s="30"/>
    </row>
  </sheetData>
  <mergeCells count="4">
    <mergeCell ref="A1:O1"/>
    <mergeCell ref="C3:D3"/>
    <mergeCell ref="K3:M3"/>
    <mergeCell ref="E3:I3"/>
  </mergeCells>
  <phoneticPr fontId="20" type="noConversion"/>
  <printOptions horizontalCentered="1"/>
  <pageMargins left="0.25" right="0.25" top="0.25" bottom="0.25" header="0.5" footer="0.5"/>
  <pageSetup paperSize="17" scale="5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2021-22 Form Distr</vt:lpstr>
      <vt:lpstr>2021-22 NF Distr</vt:lpstr>
      <vt:lpstr>'2021-22 Form Distr'!Print_Area</vt:lpstr>
      <vt:lpstr>'2021-22 NF Distr'!Print_Area</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CB50111</dc:creator>
  <cp:lastModifiedBy>Crystal Collins</cp:lastModifiedBy>
  <cp:lastPrinted>2020-02-03T22:39:11Z</cp:lastPrinted>
  <dcterms:created xsi:type="dcterms:W3CDTF">2011-03-14T18:34:44Z</dcterms:created>
  <dcterms:modified xsi:type="dcterms:W3CDTF">2021-02-12T16:51:19Z</dcterms:modified>
</cp:coreProperties>
</file>