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H:\Fiscal\Fiscal Policy\STAY_OUT\FY2020-21\Reports\Legislative Action\Work Program\"/>
    </mc:Choice>
  </mc:AlternateContent>
  <xr:revisionPtr revIDLastSave="0" documentId="13_ncr:1_{F9AD43A6-5A25-4CC8-9566-4A26C283C162}" xr6:coauthVersionLast="45" xr6:coauthVersionMax="45" xr10:uidLastSave="{00000000-0000-0000-0000-000000000000}"/>
  <bookViews>
    <workbookView xWindow="-120" yWindow="-120" windowWidth="20730" windowHeight="11160" xr2:uid="{00000000-000D-0000-FFFF-FFFF00000000}"/>
  </bookViews>
  <sheets>
    <sheet name="2020-21 Form Distr" sheetId="1" r:id="rId1"/>
    <sheet name="2020-21 NF Distr" sheetId="2" r:id="rId2"/>
  </sheets>
  <definedNames>
    <definedName name="A">#REF!</definedName>
    <definedName name="B">#REF!</definedName>
    <definedName name="cbh">#REF!</definedName>
    <definedName name="_xlnm.Print_Area" localSheetId="0">'2020-21 Form Distr'!$A$1:$S$27</definedName>
    <definedName name="_xlnm.Print_Area" localSheetId="1">'2020-21 NF Distr'!$A$1:$S$87</definedName>
    <definedName name="russ">#REF!</definedName>
    <definedName name="SchedA">#REF!</definedName>
    <definedName name="tota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1" i="2" l="1"/>
  <c r="O21" i="2"/>
  <c r="J77" i="2" l="1"/>
  <c r="J38" i="2"/>
  <c r="I38" i="2"/>
  <c r="K33" i="2"/>
  <c r="J33" i="2"/>
  <c r="I33" i="2"/>
  <c r="K30" i="2"/>
  <c r="K29" i="2"/>
  <c r="K25" i="2"/>
  <c r="K24" i="2"/>
  <c r="K23" i="2"/>
  <c r="K22" i="2"/>
  <c r="K20" i="2"/>
  <c r="K15" i="2"/>
  <c r="K14" i="2"/>
  <c r="K10" i="2"/>
  <c r="K9" i="2" l="1"/>
  <c r="K8" i="2"/>
  <c r="K7" i="2"/>
  <c r="O72" i="2"/>
  <c r="O71" i="2"/>
  <c r="O70" i="2"/>
  <c r="M62" i="2"/>
  <c r="M77" i="2" s="1"/>
  <c r="L62" i="2"/>
  <c r="L77" i="2" s="1"/>
  <c r="K62" i="2"/>
  <c r="K77" i="2" s="1"/>
  <c r="J62" i="2"/>
  <c r="L49" i="2"/>
  <c r="M37" i="2"/>
  <c r="L37" i="2"/>
  <c r="K37" i="2"/>
  <c r="J37" i="2"/>
  <c r="M31" i="2"/>
  <c r="M49" i="2" s="1"/>
  <c r="L31" i="2"/>
  <c r="K31" i="2"/>
  <c r="J31" i="2"/>
  <c r="M26" i="2"/>
  <c r="K26" i="2"/>
  <c r="L21" i="2"/>
  <c r="L26" i="2" s="1"/>
  <c r="K21" i="2"/>
  <c r="J21" i="2"/>
  <c r="J26" i="2" s="1"/>
  <c r="M11" i="2"/>
  <c r="L11" i="2"/>
  <c r="K11" i="2"/>
  <c r="J11" i="2"/>
  <c r="M19" i="1"/>
  <c r="L19" i="1"/>
  <c r="L23" i="1" s="1"/>
  <c r="L27" i="1" s="1"/>
  <c r="J19" i="1"/>
  <c r="M13" i="1"/>
  <c r="L13" i="1"/>
  <c r="J13" i="1"/>
  <c r="N19" i="1"/>
  <c r="N13" i="1"/>
  <c r="K18" i="1"/>
  <c r="K17" i="1"/>
  <c r="K19" i="1" s="1"/>
  <c r="K16" i="1"/>
  <c r="K25" i="1"/>
  <c r="K21" i="1"/>
  <c r="K11" i="1"/>
  <c r="K10" i="1"/>
  <c r="K9" i="1"/>
  <c r="M23" i="1" l="1"/>
  <c r="M27" i="1" s="1"/>
  <c r="N23" i="1"/>
  <c r="J23" i="1"/>
  <c r="J27" i="1" s="1"/>
  <c r="J49" i="2"/>
  <c r="K49" i="2"/>
  <c r="K51" i="2" s="1"/>
  <c r="L51" i="2"/>
  <c r="L53" i="2" s="1"/>
  <c r="L79" i="2" s="1"/>
  <c r="L87" i="2" s="1"/>
  <c r="M51" i="2"/>
  <c r="M53" i="2" s="1"/>
  <c r="M79" i="2" s="1"/>
  <c r="M87" i="2" s="1"/>
  <c r="J51" i="2"/>
  <c r="J53" i="2" s="1"/>
  <c r="J79" i="2" s="1"/>
  <c r="J87" i="2" s="1"/>
  <c r="K12" i="1"/>
  <c r="K8" i="1"/>
  <c r="K7" i="1"/>
  <c r="K13" i="1" s="1"/>
  <c r="K23" i="1" s="1"/>
  <c r="K27" i="1" s="1"/>
  <c r="K53" i="2" l="1"/>
  <c r="K79" i="2" s="1"/>
  <c r="K87" i="2" s="1"/>
  <c r="N30" i="2"/>
  <c r="N62" i="2" l="1"/>
  <c r="P7" i="2"/>
  <c r="C85" i="2"/>
  <c r="I7" i="2" l="1"/>
  <c r="P70" i="2" l="1"/>
  <c r="D70" i="2"/>
  <c r="P72" i="2"/>
  <c r="D72" i="2"/>
  <c r="P71" i="2"/>
  <c r="D71" i="2"/>
  <c r="R72" i="2" l="1"/>
  <c r="R71" i="2"/>
  <c r="N37" i="2"/>
  <c r="I37" i="2"/>
  <c r="H37" i="2"/>
  <c r="G37" i="2"/>
  <c r="F37" i="2"/>
  <c r="E37" i="2"/>
  <c r="C37" i="2"/>
  <c r="Q72" i="2" l="1"/>
  <c r="Q70" i="2"/>
  <c r="R70" i="2"/>
  <c r="Q71" i="2"/>
  <c r="P81" i="2"/>
  <c r="D81" i="2"/>
  <c r="O81" i="2" s="1"/>
  <c r="D64" i="2"/>
  <c r="O64" i="2" s="1"/>
  <c r="D73" i="2"/>
  <c r="O73" i="2" s="1"/>
  <c r="D74" i="2"/>
  <c r="O74" i="2" s="1"/>
  <c r="D67" i="2"/>
  <c r="O67" i="2" s="1"/>
  <c r="D65" i="2"/>
  <c r="O65" i="2" s="1"/>
  <c r="D66" i="2"/>
  <c r="O66" i="2" s="1"/>
  <c r="D76" i="2"/>
  <c r="O76" i="2" s="1"/>
  <c r="D75" i="2"/>
  <c r="O75" i="2" s="1"/>
  <c r="D68" i="2"/>
  <c r="O68" i="2" s="1"/>
  <c r="D69" i="2"/>
  <c r="O69" i="2" s="1"/>
  <c r="C62" i="2"/>
  <c r="B62" i="2" l="1"/>
  <c r="D63" i="2"/>
  <c r="D62" i="2" l="1"/>
  <c r="O63" i="2"/>
  <c r="R81" i="2"/>
  <c r="Q81" i="2"/>
  <c r="S81" i="2"/>
  <c r="P74" i="2" l="1"/>
  <c r="R74" i="2"/>
  <c r="P48" i="2"/>
  <c r="D48" i="2"/>
  <c r="O48" i="2" s="1"/>
  <c r="P73" i="2"/>
  <c r="R73" i="2"/>
  <c r="P69" i="2"/>
  <c r="P68" i="2"/>
  <c r="P75" i="2"/>
  <c r="P76" i="2"/>
  <c r="P67" i="2"/>
  <c r="P66" i="2"/>
  <c r="P65" i="2"/>
  <c r="P64" i="2"/>
  <c r="R64" i="2"/>
  <c r="S48" i="2" l="1"/>
  <c r="R48" i="2"/>
  <c r="Q74" i="2"/>
  <c r="Q73" i="2"/>
  <c r="Q64" i="2"/>
  <c r="Q69" i="2"/>
  <c r="Q68" i="2"/>
  <c r="Q75" i="2"/>
  <c r="Q76" i="2"/>
  <c r="Q67" i="2"/>
  <c r="Q66" i="2"/>
  <c r="Q65" i="2"/>
  <c r="P23" i="2"/>
  <c r="N21" i="2"/>
  <c r="N26" i="2" s="1"/>
  <c r="I21" i="2"/>
  <c r="I26" i="2" s="1"/>
  <c r="H21" i="2"/>
  <c r="H26" i="2" s="1"/>
  <c r="G21" i="2"/>
  <c r="G26" i="2" s="1"/>
  <c r="F21" i="2"/>
  <c r="F26" i="2" s="1"/>
  <c r="E21" i="2"/>
  <c r="E26" i="2" s="1"/>
  <c r="C21" i="2"/>
  <c r="C26" i="2" s="1"/>
  <c r="P22" i="2"/>
  <c r="Q48" i="2" l="1"/>
  <c r="P21" i="2"/>
  <c r="P47" i="2" l="1"/>
  <c r="D47" i="2"/>
  <c r="O47" i="2" s="1"/>
  <c r="S47" i="2" l="1"/>
  <c r="R68" i="2"/>
  <c r="R47" i="2"/>
  <c r="R67" i="2"/>
  <c r="R66" i="2"/>
  <c r="Q47" i="2" l="1"/>
  <c r="R65" i="2"/>
  <c r="P83" i="2" l="1"/>
  <c r="D83" i="2"/>
  <c r="O83" i="2" l="1"/>
  <c r="R83" i="2" l="1"/>
  <c r="Q83" i="2"/>
  <c r="D45" i="2"/>
  <c r="O45" i="2" s="1"/>
  <c r="D44" i="2"/>
  <c r="O44" i="2" s="1"/>
  <c r="D43" i="2"/>
  <c r="O43" i="2" s="1"/>
  <c r="D42" i="2"/>
  <c r="O42" i="2" s="1"/>
  <c r="D41" i="2"/>
  <c r="O41" i="2" s="1"/>
  <c r="D40" i="2"/>
  <c r="O40" i="2" s="1"/>
  <c r="D39" i="2"/>
  <c r="O39" i="2" s="1"/>
  <c r="S44" i="2" l="1"/>
  <c r="S45" i="2"/>
  <c r="P41" i="2"/>
  <c r="P40" i="2"/>
  <c r="S40" i="2"/>
  <c r="P39" i="2"/>
  <c r="S39" i="2"/>
  <c r="R41" i="2" l="1"/>
  <c r="S41" i="2"/>
  <c r="Q41" i="2"/>
  <c r="Q40" i="2"/>
  <c r="R40" i="2"/>
  <c r="Q39" i="2"/>
  <c r="R39" i="2"/>
  <c r="R76" i="2" l="1"/>
  <c r="C10" i="2" l="1"/>
  <c r="E11" i="2"/>
  <c r="F11" i="2"/>
  <c r="H11" i="2"/>
  <c r="I11" i="2"/>
  <c r="N11" i="2"/>
  <c r="P85" i="2"/>
  <c r="P63" i="2"/>
  <c r="P61" i="2"/>
  <c r="P60" i="2"/>
  <c r="P59" i="2"/>
  <c r="P58" i="2"/>
  <c r="P57" i="2"/>
  <c r="P56" i="2"/>
  <c r="P45" i="2"/>
  <c r="P44" i="2"/>
  <c r="P43" i="2"/>
  <c r="P42" i="2"/>
  <c r="P38" i="2"/>
  <c r="P36" i="2"/>
  <c r="P34" i="2"/>
  <c r="P33" i="2"/>
  <c r="P32" i="2"/>
  <c r="P30" i="2"/>
  <c r="P29" i="2"/>
  <c r="P25" i="2"/>
  <c r="P24" i="2"/>
  <c r="P20" i="2"/>
  <c r="P19" i="2"/>
  <c r="P18" i="2"/>
  <c r="P17" i="2"/>
  <c r="P16" i="2"/>
  <c r="P15" i="2"/>
  <c r="P14" i="2"/>
  <c r="P10" i="2"/>
  <c r="P9" i="2"/>
  <c r="P8" i="2"/>
  <c r="P25" i="1"/>
  <c r="P21" i="1"/>
  <c r="P18" i="1"/>
  <c r="P17" i="1"/>
  <c r="P16" i="1"/>
  <c r="P12" i="1"/>
  <c r="P11" i="1"/>
  <c r="P10" i="1"/>
  <c r="P9" i="1"/>
  <c r="P8" i="1"/>
  <c r="P7" i="1"/>
  <c r="P26" i="2" l="1"/>
  <c r="C11" i="2"/>
  <c r="P11" i="2"/>
  <c r="N77" i="2"/>
  <c r="H62" i="2"/>
  <c r="H77" i="2" s="1"/>
  <c r="I62" i="2"/>
  <c r="I77" i="2" s="1"/>
  <c r="G62" i="2"/>
  <c r="G77" i="2" s="1"/>
  <c r="F62" i="2"/>
  <c r="F77" i="2" s="1"/>
  <c r="E62" i="2"/>
  <c r="E77" i="2" s="1"/>
  <c r="C77" i="2"/>
  <c r="P62" i="2"/>
  <c r="P77" i="2" s="1"/>
  <c r="Q63" i="2" l="1"/>
  <c r="S43" i="2"/>
  <c r="G11" i="2"/>
  <c r="R75" i="2" l="1"/>
  <c r="S42" i="2"/>
  <c r="R69" i="2"/>
  <c r="R63" i="2"/>
  <c r="S63" i="2"/>
  <c r="O62" i="2"/>
  <c r="Q43" i="2"/>
  <c r="Q42" i="2"/>
  <c r="R42" i="2"/>
  <c r="R43" i="2"/>
  <c r="S62" i="2" l="1"/>
  <c r="R62" i="2"/>
  <c r="Q62" i="2"/>
  <c r="P46" i="2" l="1"/>
  <c r="P37" i="2" s="1"/>
  <c r="D46" i="2"/>
  <c r="O46" i="2" s="1"/>
  <c r="D36" i="2"/>
  <c r="O36" i="2" s="1"/>
  <c r="C31" i="2"/>
  <c r="S46" i="2" l="1"/>
  <c r="R46" i="2"/>
  <c r="R45" i="2"/>
  <c r="Q46" i="2" l="1"/>
  <c r="Q45" i="2"/>
  <c r="Q44" i="2"/>
  <c r="R44" i="2"/>
  <c r="C49" i="2"/>
  <c r="D85" i="2" l="1"/>
  <c r="O85" i="2" s="1"/>
  <c r="S85" i="2" l="1"/>
  <c r="R85" i="2" l="1"/>
  <c r="Q85" i="2"/>
  <c r="D61" i="2"/>
  <c r="O61" i="2" s="1"/>
  <c r="D60" i="2"/>
  <c r="O60" i="2" s="1"/>
  <c r="D59" i="2"/>
  <c r="O59" i="2" s="1"/>
  <c r="D58" i="2"/>
  <c r="O58" i="2" s="1"/>
  <c r="D35" i="2"/>
  <c r="O35" i="2" s="1"/>
  <c r="D34" i="2"/>
  <c r="O34" i="2" s="1"/>
  <c r="D32" i="2"/>
  <c r="O32" i="2" s="1"/>
  <c r="R32" i="2" l="1"/>
  <c r="R34" i="2"/>
  <c r="S34" i="2" l="1"/>
  <c r="Q34" i="2"/>
  <c r="P35" i="2" l="1"/>
  <c r="R36" i="2"/>
  <c r="R58" i="2"/>
  <c r="R59" i="2"/>
  <c r="S60" i="2"/>
  <c r="R61" i="2"/>
  <c r="H31" i="2"/>
  <c r="H49" i="2" s="1"/>
  <c r="E31" i="2"/>
  <c r="E49" i="2" s="1"/>
  <c r="F31" i="2"/>
  <c r="F49" i="2" s="1"/>
  <c r="G31" i="2"/>
  <c r="G49" i="2" s="1"/>
  <c r="I31" i="2"/>
  <c r="I49" i="2" s="1"/>
  <c r="N31" i="2"/>
  <c r="N49" i="2" s="1"/>
  <c r="C13" i="1"/>
  <c r="H13" i="1"/>
  <c r="E13" i="1"/>
  <c r="F13" i="1"/>
  <c r="I13" i="1"/>
  <c r="C19" i="1"/>
  <c r="H19" i="1"/>
  <c r="E19" i="1"/>
  <c r="F19" i="1"/>
  <c r="I19" i="1"/>
  <c r="F51" i="2" l="1"/>
  <c r="N27" i="1"/>
  <c r="P31" i="2"/>
  <c r="P49" i="2" s="1"/>
  <c r="Q35" i="2"/>
  <c r="C51" i="2"/>
  <c r="C53" i="2" s="1"/>
  <c r="C79" i="2" s="1"/>
  <c r="N51" i="2"/>
  <c r="Q59" i="2"/>
  <c r="I51" i="2"/>
  <c r="H51" i="2"/>
  <c r="E51" i="2"/>
  <c r="S32" i="2"/>
  <c r="E23" i="1"/>
  <c r="E27" i="1" s="1"/>
  <c r="H23" i="1"/>
  <c r="H27" i="1" s="1"/>
  <c r="I23" i="1"/>
  <c r="I27" i="1" s="1"/>
  <c r="C23" i="1"/>
  <c r="C27" i="1" s="1"/>
  <c r="P13" i="1"/>
  <c r="P19" i="1"/>
  <c r="F23" i="1"/>
  <c r="F27" i="1" s="1"/>
  <c r="G19" i="1"/>
  <c r="G13" i="1"/>
  <c r="S61" i="2"/>
  <c r="Q61" i="2"/>
  <c r="Q32" i="2"/>
  <c r="G51" i="2"/>
  <c r="R60" i="2"/>
  <c r="S36" i="2"/>
  <c r="Q60" i="2"/>
  <c r="S58" i="2"/>
  <c r="Q58" i="2"/>
  <c r="S59" i="2"/>
  <c r="Q36" i="2"/>
  <c r="R35" i="2"/>
  <c r="C87" i="2" l="1"/>
  <c r="N53" i="2"/>
  <c r="F53" i="2"/>
  <c r="F79" i="2" s="1"/>
  <c r="F87" i="2" s="1"/>
  <c r="P51" i="2"/>
  <c r="P23" i="1"/>
  <c r="P27" i="1" s="1"/>
  <c r="I53" i="2"/>
  <c r="I79" i="2" s="1"/>
  <c r="I87" i="2" s="1"/>
  <c r="E53" i="2"/>
  <c r="E79" i="2" s="1"/>
  <c r="E87" i="2" s="1"/>
  <c r="H53" i="2"/>
  <c r="H79" i="2" s="1"/>
  <c r="H87" i="2" s="1"/>
  <c r="G23" i="1"/>
  <c r="G27" i="1" s="1"/>
  <c r="G53" i="2" s="1"/>
  <c r="G79" i="2" s="1"/>
  <c r="G87" i="2" s="1"/>
  <c r="P53" i="2" l="1"/>
  <c r="P79" i="2" s="1"/>
  <c r="P87" i="2" s="1"/>
  <c r="N79" i="2"/>
  <c r="N87" i="2" s="1"/>
  <c r="D23" i="2" l="1"/>
  <c r="O23" i="2" s="1"/>
  <c r="D22" i="2" l="1"/>
  <c r="O22" i="2" s="1"/>
  <c r="B21" i="2"/>
  <c r="Q23" i="2"/>
  <c r="R23" i="2"/>
  <c r="S23" i="2"/>
  <c r="D21" i="2" l="1"/>
  <c r="R22" i="2" l="1"/>
  <c r="R21" i="2" s="1"/>
  <c r="S22" i="2"/>
  <c r="Q22" i="2"/>
  <c r="Q21" i="2" s="1"/>
  <c r="S21" i="2"/>
  <c r="D9" i="2" l="1"/>
  <c r="O9" i="2" s="1"/>
  <c r="R9" i="2" l="1"/>
  <c r="S9" i="2"/>
  <c r="Q9" i="2"/>
  <c r="D10" i="2" l="1"/>
  <c r="O10" i="2" s="1"/>
  <c r="S10" i="2" l="1"/>
  <c r="Q10" i="2"/>
  <c r="R10" i="2"/>
  <c r="B37" i="2" l="1"/>
  <c r="D38" i="2"/>
  <c r="O38" i="2" s="1"/>
  <c r="D37" i="2" l="1"/>
  <c r="S38" i="2" l="1"/>
  <c r="O37" i="2"/>
  <c r="R38" i="2"/>
  <c r="R37" i="2" s="1"/>
  <c r="Q38" i="2"/>
  <c r="Q37" i="2" s="1"/>
  <c r="O21" i="1"/>
  <c r="S37" i="2" l="1"/>
  <c r="O10" i="1"/>
  <c r="O17" i="1"/>
  <c r="D18" i="2"/>
  <c r="O18" i="2" s="1"/>
  <c r="D15" i="2"/>
  <c r="O15" i="2" s="1"/>
  <c r="D19" i="2"/>
  <c r="O19" i="2" s="1"/>
  <c r="D29" i="2"/>
  <c r="O29" i="2" s="1"/>
  <c r="O7" i="1"/>
  <c r="O11" i="1"/>
  <c r="O18" i="1"/>
  <c r="D25" i="2"/>
  <c r="O25" i="2" s="1"/>
  <c r="D20" i="2"/>
  <c r="O20" i="2" s="1"/>
  <c r="D30" i="2"/>
  <c r="O30" i="2" s="1"/>
  <c r="O8" i="1"/>
  <c r="O12" i="1"/>
  <c r="D21" i="1"/>
  <c r="D57" i="2"/>
  <c r="O57" i="2" s="1"/>
  <c r="D16" i="2"/>
  <c r="O16" i="2" s="1"/>
  <c r="D8" i="2"/>
  <c r="O8" i="2" s="1"/>
  <c r="D17" i="2"/>
  <c r="O17" i="2" s="1"/>
  <c r="D24" i="2"/>
  <c r="O24" i="2" s="1"/>
  <c r="O9" i="1"/>
  <c r="O16" i="1"/>
  <c r="O25" i="1"/>
  <c r="O13" i="1" l="1"/>
  <c r="D9" i="1"/>
  <c r="Q8" i="2"/>
  <c r="R8" i="2"/>
  <c r="S8" i="2"/>
  <c r="S21" i="1"/>
  <c r="Q21" i="1"/>
  <c r="R21" i="1"/>
  <c r="Q30" i="2"/>
  <c r="S30" i="2"/>
  <c r="R30" i="2"/>
  <c r="B11" i="2"/>
  <c r="D7" i="2"/>
  <c r="O7" i="2" s="1"/>
  <c r="D25" i="1"/>
  <c r="D16" i="1"/>
  <c r="B19" i="1"/>
  <c r="R17" i="2"/>
  <c r="S17" i="2"/>
  <c r="Q17" i="2"/>
  <c r="D8" i="1"/>
  <c r="D7" i="1"/>
  <c r="B13" i="1"/>
  <c r="R18" i="2"/>
  <c r="Q18" i="2"/>
  <c r="S18" i="2"/>
  <c r="D33" i="2"/>
  <c r="O33" i="2" s="1"/>
  <c r="B31" i="2"/>
  <c r="B49" i="2" s="1"/>
  <c r="S24" i="2"/>
  <c r="Q24" i="2"/>
  <c r="R24" i="2"/>
  <c r="R57" i="2"/>
  <c r="Q57" i="2"/>
  <c r="S57" i="2"/>
  <c r="D12" i="1"/>
  <c r="R25" i="2"/>
  <c r="Q25" i="2"/>
  <c r="S25" i="2"/>
  <c r="D11" i="1"/>
  <c r="S15" i="2"/>
  <c r="Q15" i="2"/>
  <c r="R15" i="2"/>
  <c r="D10" i="1"/>
  <c r="B77" i="2"/>
  <c r="D56" i="2"/>
  <c r="O56" i="2" s="1"/>
  <c r="R16" i="2"/>
  <c r="Q16" i="2"/>
  <c r="S16" i="2"/>
  <c r="S20" i="2"/>
  <c r="Q20" i="2"/>
  <c r="R20" i="2"/>
  <c r="D18" i="1"/>
  <c r="S19" i="2"/>
  <c r="R19" i="2"/>
  <c r="Q19" i="2"/>
  <c r="D17" i="1"/>
  <c r="R18" i="1" l="1"/>
  <c r="Q18" i="1"/>
  <c r="S18" i="1"/>
  <c r="Q12" i="1"/>
  <c r="S12" i="1"/>
  <c r="R12" i="1"/>
  <c r="D31" i="2"/>
  <c r="D49" i="2" s="1"/>
  <c r="R7" i="1"/>
  <c r="S7" i="1"/>
  <c r="Q7" i="1"/>
  <c r="D19" i="1"/>
  <c r="S17" i="1"/>
  <c r="R17" i="1"/>
  <c r="Q17" i="1"/>
  <c r="B23" i="1"/>
  <c r="B27" i="1" s="1"/>
  <c r="S16" i="1"/>
  <c r="O19" i="1"/>
  <c r="R16" i="1"/>
  <c r="Q16" i="1"/>
  <c r="R25" i="1"/>
  <c r="S25" i="1"/>
  <c r="Q25" i="1"/>
  <c r="D11" i="2"/>
  <c r="S29" i="2"/>
  <c r="R29" i="2"/>
  <c r="Q29" i="2"/>
  <c r="D77" i="2"/>
  <c r="Q10" i="1"/>
  <c r="S10" i="1"/>
  <c r="R10" i="1"/>
  <c r="Q11" i="1"/>
  <c r="R11" i="1"/>
  <c r="S11" i="1"/>
  <c r="D13" i="1"/>
  <c r="Q8" i="1"/>
  <c r="R8" i="1"/>
  <c r="S8" i="1"/>
  <c r="D14" i="2"/>
  <c r="O14" i="2" s="1"/>
  <c r="B26" i="2"/>
  <c r="B51" i="2" s="1"/>
  <c r="B53" i="2" s="1"/>
  <c r="B79" i="2" s="1"/>
  <c r="B87" i="2" s="1"/>
  <c r="Q9" i="1"/>
  <c r="S9" i="1"/>
  <c r="R9" i="1"/>
  <c r="D23" i="1" l="1"/>
  <c r="S13" i="1"/>
  <c r="D26" i="2"/>
  <c r="D51" i="2" s="1"/>
  <c r="Q19" i="1"/>
  <c r="O23" i="1"/>
  <c r="S19" i="1"/>
  <c r="R13" i="1"/>
  <c r="R19" i="1"/>
  <c r="Q13" i="1"/>
  <c r="R33" i="2"/>
  <c r="R31" i="2" s="1"/>
  <c r="R49" i="2" s="1"/>
  <c r="Q33" i="2"/>
  <c r="Q31" i="2" s="1"/>
  <c r="Q49" i="2" s="1"/>
  <c r="O31" i="2"/>
  <c r="S33" i="2"/>
  <c r="O77" i="2"/>
  <c r="S77" i="2" s="1"/>
  <c r="S56" i="2"/>
  <c r="Q56" i="2"/>
  <c r="Q77" i="2" s="1"/>
  <c r="R56" i="2"/>
  <c r="R77" i="2" s="1"/>
  <c r="Q7" i="2"/>
  <c r="Q11" i="2" s="1"/>
  <c r="R7" i="2"/>
  <c r="R11" i="2" s="1"/>
  <c r="O11" i="2"/>
  <c r="S7" i="2"/>
  <c r="R23" i="1" l="1"/>
  <c r="R27" i="1" s="1"/>
  <c r="O26" i="2"/>
  <c r="S26" i="2" s="1"/>
  <c r="R14" i="2"/>
  <c r="R26" i="2" s="1"/>
  <c r="R51" i="2" s="1"/>
  <c r="S14" i="2"/>
  <c r="Q14" i="2"/>
  <c r="Q26" i="2" s="1"/>
  <c r="Q51" i="2" s="1"/>
  <c r="Q23" i="1"/>
  <c r="Q27" i="1" s="1"/>
  <c r="S11" i="2"/>
  <c r="D27" i="1"/>
  <c r="S23" i="1"/>
  <c r="O27" i="1"/>
  <c r="S31" i="2"/>
  <c r="O49" i="2"/>
  <c r="S49" i="2" s="1"/>
  <c r="R53" i="2" l="1"/>
  <c r="R79" i="2" s="1"/>
  <c r="R87" i="2" s="1"/>
  <c r="Q53" i="2"/>
  <c r="Q79" i="2" s="1"/>
  <c r="Q87" i="2" s="1"/>
  <c r="D53" i="2"/>
  <c r="D79" i="2" s="1"/>
  <c r="D87" i="2" s="1"/>
  <c r="O51" i="2"/>
  <c r="S27" i="1"/>
  <c r="S51" i="2" l="1"/>
  <c r="O53" i="2"/>
  <c r="S53" i="2" l="1"/>
  <c r="O79" i="2"/>
  <c r="O87" i="2" l="1"/>
  <c r="S87" i="2" s="1"/>
  <c r="S7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Crystal Collins</author>
  </authors>
  <commentList>
    <comment ref="N9" authorId="0" shapeId="0" xr:uid="{00000000-0006-0000-0000-000007000000}">
      <text>
        <r>
          <rPr>
            <b/>
            <sz val="9"/>
            <color indexed="81"/>
            <rFont val="Tahoma"/>
            <family val="2"/>
          </rPr>
          <t>Crystal Collins:</t>
        </r>
        <r>
          <rPr>
            <sz val="9"/>
            <color indexed="81"/>
            <rFont val="Tahoma"/>
            <family val="2"/>
          </rPr>
          <t xml:space="preserve">
To provide non-recurring funding for financial aid for students in the medical education program administered by Middle Tennessee State University and Meharry Medical College.</t>
        </r>
      </text>
    </comment>
    <comment ref="N11" authorId="0" shapeId="0" xr:uid="{00000000-0006-0000-0000-000008000000}">
      <text>
        <r>
          <rPr>
            <b/>
            <sz val="9"/>
            <color indexed="81"/>
            <rFont val="Tahoma"/>
            <family val="2"/>
          </rPr>
          <t>Crystal Collins:</t>
        </r>
        <r>
          <rPr>
            <sz val="9"/>
            <color indexed="81"/>
            <rFont val="Tahoma"/>
            <family val="2"/>
          </rPr>
          <t xml:space="preserve">
To provide the fourth year of non-recurring funding to Tennessee Technological University for cybersecurity research.</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Crystal Collins</author>
  </authors>
  <commentList>
    <comment ref="I7" authorId="0" shapeId="0" xr:uid="{00000000-0006-0000-0100-000003000000}">
      <text>
        <r>
          <rPr>
            <b/>
            <sz val="9"/>
            <color indexed="81"/>
            <rFont val="Tahoma"/>
            <family val="2"/>
          </rPr>
          <t>Crystal Collins:</t>
        </r>
        <r>
          <rPr>
            <sz val="9"/>
            <color indexed="81"/>
            <rFont val="Tahoma"/>
            <family val="2"/>
          </rPr>
          <t xml:space="preserve">
$495.5K to provide recurring funding for additional pediatric surgeons to meet the needs of the Northeast Tennessee region.
$600K to provide recurring funding for pediatric specialists. Salaries for specialists are supplemented by clinical earnings and a partnership with Niswonger Children's Hospital.</t>
        </r>
      </text>
    </comment>
    <comment ref="I30" authorId="0" shapeId="0" xr:uid="{4B7B76E1-C6BD-460E-B50A-628CD001AB3B}">
      <text>
        <r>
          <rPr>
            <b/>
            <sz val="9"/>
            <color indexed="81"/>
            <rFont val="Tahoma"/>
            <family val="2"/>
          </rPr>
          <t>Crystal Collins:</t>
        </r>
        <r>
          <rPr>
            <sz val="9"/>
            <color indexed="81"/>
            <rFont val="Tahoma"/>
            <family val="2"/>
          </rPr>
          <t xml:space="preserve">
To provide funding for personnel and equipment that will be utilized in the implementation of the Correctional Education Investment Initiative. Recurring funding of $4,436,000 will be used for Tennessee colleges of applied technology (TCAT) staffing and degree programming. Non-recurring funding of $984,600 will be used for equipment. (B-98)
Reorged from TCATs to TBR Admin in budget amendment process.</t>
        </r>
      </text>
    </comment>
    <comment ref="N30" authorId="0" shapeId="0" xr:uid="{00000000-0006-0000-0100-000008000000}">
      <text>
        <r>
          <rPr>
            <b/>
            <sz val="9"/>
            <color indexed="81"/>
            <rFont val="Tahoma"/>
            <family val="2"/>
          </rPr>
          <t>Crystal Collins:</t>
        </r>
        <r>
          <rPr>
            <sz val="9"/>
            <color indexed="81"/>
            <rFont val="Tahoma"/>
            <family val="2"/>
          </rPr>
          <t xml:space="preserve">
$1M to provide non-recurring funding for mechatronics education, which is a multidisciplinary field combining mechanical enigneering and electronics, through a high school and post-secondary partnership.
$984,600 to provide funding for  equipment that will be utilized in the implementation of the Correctional Education Investment Initiative.
Reorged from TCATs to TBR Admin in budget amendment process.</t>
        </r>
      </text>
    </comment>
    <comment ref="I33" authorId="0" shapeId="0" xr:uid="{36E9D69F-EFED-4B96-BC13-D08839A84093}">
      <text>
        <r>
          <rPr>
            <b/>
            <sz val="9"/>
            <color indexed="81"/>
            <rFont val="Tahoma"/>
            <family val="2"/>
          </rPr>
          <t>Crystal Collins:</t>
        </r>
        <r>
          <rPr>
            <sz val="9"/>
            <color indexed="81"/>
            <rFont val="Tahoma"/>
            <family val="2"/>
          </rPr>
          <t xml:space="preserve">
$41,500 - FRF Rent Adj
$5,000 - STS Office 365
$2,800 - STS Security Assessment</t>
        </r>
      </text>
    </comment>
    <comment ref="N33" authorId="0" shapeId="0" xr:uid="{49E297C6-283C-4650-AD5D-5C20858C7E72}">
      <text>
        <r>
          <rPr>
            <b/>
            <sz val="9"/>
            <color indexed="81"/>
            <rFont val="Tahoma"/>
            <family val="2"/>
          </rPr>
          <t>Crystal Collins:</t>
        </r>
        <r>
          <rPr>
            <sz val="9"/>
            <color indexed="81"/>
            <rFont val="Tahoma"/>
            <family val="2"/>
          </rPr>
          <t xml:space="preserve">
STS Security Assessment</t>
        </r>
      </text>
    </comment>
    <comment ref="I38" authorId="0" shapeId="0" xr:uid="{9C059B3F-E553-4AAE-9C5A-CE4765C75CBC}">
      <text>
        <r>
          <rPr>
            <b/>
            <sz val="9"/>
            <color indexed="81"/>
            <rFont val="Tahoma"/>
            <family val="2"/>
          </rPr>
          <t>Crystal Collins:</t>
        </r>
        <r>
          <rPr>
            <sz val="9"/>
            <color indexed="81"/>
            <rFont val="Tahoma"/>
            <family val="2"/>
          </rPr>
          <t xml:space="preserve">
-$151,200 - Vacancy Reduction
$19,100 - FRF Rent Adjustment
$7,000 - STS - Office 365
$1,700 - STS Security Assessment</t>
        </r>
      </text>
    </comment>
    <comment ref="N38" authorId="0" shapeId="0" xr:uid="{15539939-C9B3-4B45-AF94-BFFF109CF309}">
      <text>
        <r>
          <rPr>
            <b/>
            <sz val="9"/>
            <color indexed="81"/>
            <rFont val="Tahoma"/>
            <family val="2"/>
          </rPr>
          <t>Crystal Collins:</t>
        </r>
        <r>
          <rPr>
            <sz val="9"/>
            <color indexed="81"/>
            <rFont val="Tahoma"/>
            <family val="2"/>
          </rPr>
          <t xml:space="preserve">
STS Security Assessment</t>
        </r>
      </text>
    </comment>
    <comment ref="D39" authorId="0" shapeId="0" xr:uid="{00000000-0006-0000-0100-00000A000000}">
      <text>
        <r>
          <rPr>
            <b/>
            <sz val="9"/>
            <color indexed="81"/>
            <rFont val="Tahoma"/>
            <family val="2"/>
          </rPr>
          <t>Crystal Collins:</t>
        </r>
        <r>
          <rPr>
            <sz val="9"/>
            <color indexed="81"/>
            <rFont val="Tahoma"/>
            <family val="2"/>
          </rPr>
          <t xml:space="preserve">
Recurring funding for one full-time position related to college completion initiatives for minority students at public and private institutions.
Section 57, Item 1-17</t>
        </r>
      </text>
    </comment>
    <comment ref="D40" authorId="0" shapeId="0" xr:uid="{00000000-0006-0000-0100-00000B000000}">
      <text>
        <r>
          <rPr>
            <b/>
            <sz val="9"/>
            <color indexed="81"/>
            <rFont val="Tahoma"/>
            <family val="2"/>
          </rPr>
          <t>Crystal Collins:</t>
        </r>
        <r>
          <rPr>
            <sz val="9"/>
            <color indexed="81"/>
            <rFont val="Tahoma"/>
            <family val="2"/>
          </rPr>
          <t xml:space="preserve">
To provide recurring funds for a position to administer the Tennessee Reconnect program, which aims to help adults enter higher education so that they may gain new skills, advance in the workplace, and earn a degree or credential.</t>
        </r>
      </text>
    </comment>
    <comment ref="D41" authorId="0" shapeId="0" xr:uid="{00000000-0006-0000-0100-00000C000000}">
      <text>
        <r>
          <rPr>
            <b/>
            <sz val="9"/>
            <color indexed="81"/>
            <rFont val="Tahoma"/>
            <family val="2"/>
          </rPr>
          <t>Crystal Collins:</t>
        </r>
        <r>
          <rPr>
            <sz val="9"/>
            <color indexed="81"/>
            <rFont val="Tahoma"/>
            <family val="2"/>
          </rPr>
          <t xml:space="preserve">
To provide recurring funds for a position that will be responsible for coordinating the newly created capital project structure under the FOCUS Act.</t>
        </r>
      </text>
    </comment>
    <comment ref="D42" authorId="0" shapeId="0" xr:uid="{00000000-0006-0000-0100-00000D000000}">
      <text>
        <r>
          <rPr>
            <b/>
            <sz val="9"/>
            <color indexed="81"/>
            <rFont val="Tahoma"/>
            <family val="2"/>
          </rPr>
          <t>Crystal Collins:</t>
        </r>
        <r>
          <rPr>
            <sz val="9"/>
            <color indexed="81"/>
            <rFont val="Tahoma"/>
            <family val="2"/>
          </rPr>
          <t xml:space="preserve">
To provide funds for a position that will provide increased capacity to manage the daily operations of Drive to 55 and Tennessee Promise Initiatives.</t>
        </r>
      </text>
    </comment>
    <comment ref="D44" authorId="0" shapeId="0" xr:uid="{00000000-0006-0000-0100-00000E000000}">
      <text>
        <r>
          <rPr>
            <b/>
            <sz val="9"/>
            <color indexed="81"/>
            <rFont val="Tahoma"/>
            <family val="2"/>
          </rPr>
          <t>Crystal Collins:</t>
        </r>
        <r>
          <rPr>
            <sz val="9"/>
            <color indexed="81"/>
            <rFont val="Tahoma"/>
            <family val="2"/>
          </rPr>
          <t xml:space="preserve">
To provide funding for one-on-one assistance for students during the college admissions and financial aid application processes and throughout the transition from high school to higher education. Funding for 3 positions.</t>
        </r>
      </text>
    </comment>
    <comment ref="D45" authorId="0" shapeId="0" xr:uid="{00000000-0006-0000-0100-00000F000000}">
      <text>
        <r>
          <rPr>
            <b/>
            <sz val="9"/>
            <color indexed="81"/>
            <rFont val="Tahoma"/>
            <family val="2"/>
          </rPr>
          <t>Crystal Collins:</t>
        </r>
        <r>
          <rPr>
            <sz val="9"/>
            <color indexed="81"/>
            <rFont val="Tahoma"/>
            <family val="2"/>
          </rPr>
          <t xml:space="preserve">
To provide funding for positions that will provide administrative/fiscal oversight and leadership for the Adult Learner Program. The Adult Learner Program provides grants to institutions to locate and recruit adults with some college education but no degree to finish their degree.</t>
        </r>
      </text>
    </comment>
    <comment ref="D46" authorId="0" shapeId="0" xr:uid="{00000000-0006-0000-0100-000010000000}">
      <text>
        <r>
          <rPr>
            <b/>
            <sz val="9"/>
            <color indexed="81"/>
            <rFont val="Tahoma"/>
            <family val="2"/>
          </rPr>
          <t>Crystal Collins:</t>
        </r>
        <r>
          <rPr>
            <sz val="9"/>
            <color indexed="81"/>
            <rFont val="Tahoma"/>
            <family val="2"/>
          </rPr>
          <t xml:space="preserve">
To provide funding for a position that will provide coordination, adminstrative/fiscal oversight, and leadership for LEAPm which aims to eliminate skills gaps across the state in a proactive, data-driven, and coordinated manner by encouraging collaboration across education and industry.</t>
        </r>
      </text>
    </comment>
    <comment ref="D47" authorId="0" shapeId="0" xr:uid="{00000000-0006-0000-0100-000011000000}">
      <text>
        <r>
          <rPr>
            <b/>
            <sz val="9"/>
            <color indexed="81"/>
            <rFont val="Tahoma"/>
            <family val="2"/>
          </rPr>
          <t>Crystal Collins:</t>
        </r>
        <r>
          <rPr>
            <sz val="9"/>
            <color indexed="81"/>
            <rFont val="Tahoma"/>
            <family val="2"/>
          </rPr>
          <t xml:space="preserve">
To provide recurring funding for a position to administer fiscal affairs for the Tennessee Reconnect program.</t>
        </r>
      </text>
    </comment>
    <comment ref="D48" authorId="0" shapeId="0" xr:uid="{00000000-0006-0000-0100-000012000000}">
      <text>
        <r>
          <rPr>
            <b/>
            <sz val="9"/>
            <color indexed="81"/>
            <rFont val="Tahoma"/>
            <family val="2"/>
          </rPr>
          <t>Crystal Collins:</t>
        </r>
        <r>
          <rPr>
            <sz val="9"/>
            <color indexed="81"/>
            <rFont val="Tahoma"/>
            <family val="2"/>
          </rPr>
          <t xml:space="preserve">
To provide funding for personnel and equipment that will be utilized in the implementation of the Correctional Education Investment initiative. Recurring funding in the amount of $426,000 will be used for personnel. Non-recurring funding in the amount of $975,000 will be used for equipment.</t>
        </r>
      </text>
    </comment>
    <comment ref="B63" authorId="0" shapeId="0" xr:uid="{00000000-0006-0000-0100-000013000000}">
      <text>
        <r>
          <rPr>
            <b/>
            <sz val="9"/>
            <color indexed="81"/>
            <rFont val="Tahoma"/>
            <family val="2"/>
          </rPr>
          <t>Crystal Collins:</t>
        </r>
        <r>
          <rPr>
            <sz val="9"/>
            <color indexed="81"/>
            <rFont val="Tahoma"/>
            <family val="2"/>
          </rPr>
          <t xml:space="preserve">
Includes $1,000,000 for TN Reconnect Advisor Program Expansion through a reorg in 2015-16.</t>
        </r>
      </text>
    </comment>
    <comment ref="N71" authorId="0" shapeId="0" xr:uid="{00000000-0006-0000-0100-000015000000}">
      <text>
        <r>
          <rPr>
            <b/>
            <sz val="9"/>
            <color indexed="81"/>
            <rFont val="Tahoma"/>
            <family val="2"/>
          </rPr>
          <t>Crystal Collins:</t>
        </r>
        <r>
          <rPr>
            <sz val="9"/>
            <color indexed="81"/>
            <rFont val="Tahoma"/>
            <family val="2"/>
          </rPr>
          <t xml:space="preserve">
To provide non-recurring funding for the next phase of safety and security investments statewide at universities, community colleges, and colleges of applied technology.</t>
        </r>
      </text>
    </comment>
    <comment ref="N76" authorId="0" shapeId="0" xr:uid="{00000000-0006-0000-0100-000017000000}">
      <text>
        <r>
          <rPr>
            <b/>
            <sz val="9"/>
            <color indexed="81"/>
            <rFont val="Tahoma"/>
            <family val="2"/>
          </rPr>
          <t>Crystal Collins:</t>
        </r>
        <r>
          <rPr>
            <sz val="9"/>
            <color indexed="81"/>
            <rFont val="Tahoma"/>
            <family val="2"/>
          </rPr>
          <t xml:space="preserve">
To provide non-recurring funding for grants focused on improving the success of student veterans enrolled in Tennessee colleges and universities by enhancing training for faculty and staff who work with veterans.</t>
        </r>
      </text>
    </comment>
    <comment ref="B87" authorId="0" shapeId="0" xr:uid="{00000000-0006-0000-0100-000019000000}">
      <text>
        <r>
          <rPr>
            <b/>
            <sz val="9"/>
            <color indexed="81"/>
            <rFont val="Tahoma"/>
            <family val="2"/>
          </rPr>
          <t>Crystal Collins:</t>
        </r>
        <r>
          <rPr>
            <sz val="9"/>
            <color indexed="81"/>
            <rFont val="Tahoma"/>
            <family val="2"/>
          </rPr>
          <t xml:space="preserve">
Matches FY20 Work Program Total.</t>
        </r>
      </text>
    </comment>
    <comment ref="O87" authorId="0" shapeId="0" xr:uid="{17684CAC-EDD0-49F8-91DE-A4D90D042475}">
      <text>
        <r>
          <rPr>
            <b/>
            <sz val="9"/>
            <color indexed="81"/>
            <rFont val="Tahoma"/>
            <family val="2"/>
          </rPr>
          <t>Crystal Collins:</t>
        </r>
        <r>
          <rPr>
            <sz val="9"/>
            <color indexed="81"/>
            <rFont val="Tahoma"/>
            <family val="2"/>
          </rPr>
          <t xml:space="preserve">
Matches the Work Program Recurring Total provided by F&amp;A.</t>
        </r>
      </text>
    </comment>
    <comment ref="Q87" authorId="0" shapeId="0" xr:uid="{00000000-0006-0000-0100-00001B000000}">
      <text>
        <r>
          <rPr>
            <b/>
            <sz val="9"/>
            <color indexed="81"/>
            <rFont val="Tahoma"/>
            <family val="2"/>
          </rPr>
          <t>Crystal Collins:</t>
        </r>
        <r>
          <rPr>
            <sz val="9"/>
            <color indexed="81"/>
            <rFont val="Tahoma"/>
            <family val="2"/>
          </rPr>
          <t xml:space="preserve">
Matches total state appropriations in the FY21 Work Program document provided by FA, saved here: "H:\Fiscal\Fiscal Policy\STAY_OUT\FY2020-21\Reports\Legislative Action\Work Program\Background Materials\Higher Ed Roll Up - FY 21 Work Program Draft 1.xls"</t>
        </r>
      </text>
    </comment>
  </commentList>
</comments>
</file>

<file path=xl/sharedStrings.xml><?xml version="1.0" encoding="utf-8"?>
<sst xmlns="http://schemas.openxmlformats.org/spreadsheetml/2006/main" count="194" uniqueCount="122">
  <si>
    <t>Academic Formula Units</t>
  </si>
  <si>
    <t>TBR Universities</t>
  </si>
  <si>
    <t>Austin Peay</t>
  </si>
  <si>
    <t>East Tennessee</t>
  </si>
  <si>
    <t>Middle Tennessee</t>
  </si>
  <si>
    <t>Tennessee State</t>
  </si>
  <si>
    <t>Tennessee Tech</t>
  </si>
  <si>
    <t xml:space="preserve">Subtotal </t>
  </si>
  <si>
    <t>Subtotal</t>
  </si>
  <si>
    <t>UT Universities</t>
  </si>
  <si>
    <t>UT Chattanooga</t>
  </si>
  <si>
    <t>UT Knoxville</t>
  </si>
  <si>
    <t>UT Martin</t>
  </si>
  <si>
    <t>Total Colleges and Universities</t>
  </si>
  <si>
    <t>Total Academic Formula Units</t>
  </si>
  <si>
    <t>Non-Recurring</t>
  </si>
  <si>
    <t>Recurring</t>
  </si>
  <si>
    <t>Percent Change</t>
  </si>
  <si>
    <t>Specialized Units</t>
  </si>
  <si>
    <t>Medical Education</t>
  </si>
  <si>
    <t>ETSU College of Medicine</t>
  </si>
  <si>
    <t>ETSU Family Practice</t>
  </si>
  <si>
    <t>Research and Public Service</t>
  </si>
  <si>
    <t>TSU McMinnville Center</t>
  </si>
  <si>
    <t>TSU Cooperative Extension</t>
  </si>
  <si>
    <t>UT Space Institute</t>
  </si>
  <si>
    <t>UT Institute for Public Service</t>
  </si>
  <si>
    <t>Other Specialized Units</t>
  </si>
  <si>
    <t>UT University-Wide Administration</t>
  </si>
  <si>
    <t>TN Board of Regents Administration</t>
  </si>
  <si>
    <t>TN Student Assistance Corporation</t>
  </si>
  <si>
    <t>Tennessee Students Assistance Corporation</t>
  </si>
  <si>
    <t>TN Higher Education Commission</t>
  </si>
  <si>
    <t>Contract Education</t>
  </si>
  <si>
    <t>Total Specialized Units</t>
  </si>
  <si>
    <t>Total Formula and Specialized Units</t>
  </si>
  <si>
    <t>Program Initiatives</t>
  </si>
  <si>
    <t>Campus Centers of Excellence</t>
  </si>
  <si>
    <t>Campus Centers of Emphasis</t>
  </si>
  <si>
    <t>UT Access and Diversity Initiative</t>
  </si>
  <si>
    <t>TBR Access and Diversity Initiative</t>
  </si>
  <si>
    <t>THEC Grants</t>
  </si>
  <si>
    <t>Research Initiatives - UT</t>
  </si>
  <si>
    <t>TSU McIntire-Stennis Forestry Research</t>
  </si>
  <si>
    <t>Insurance</t>
  </si>
  <si>
    <t>Base</t>
  </si>
  <si>
    <t>Salary</t>
  </si>
  <si>
    <t>Increase</t>
  </si>
  <si>
    <t>Appropriations</t>
  </si>
  <si>
    <t>Change in</t>
  </si>
  <si>
    <t>UT Municipal Technical Advisory Service</t>
  </si>
  <si>
    <t>UT County Technical Assistance Service</t>
  </si>
  <si>
    <t>UT College of Veterinary Medicine</t>
  </si>
  <si>
    <t>UT Agricultural Experiment Station</t>
  </si>
  <si>
    <t>UT Agricultural Extension Service</t>
  </si>
  <si>
    <t>TSU Institute of Agricultural and Environmental Research</t>
  </si>
  <si>
    <t>University of Memphis</t>
  </si>
  <si>
    <t>Community Colleges</t>
  </si>
  <si>
    <t>Outcomes/</t>
  </si>
  <si>
    <t>Productivity</t>
  </si>
  <si>
    <t>Loan/Scholarships Program</t>
  </si>
  <si>
    <t>Other</t>
  </si>
  <si>
    <t>Revised</t>
  </si>
  <si>
    <t>Percent</t>
  </si>
  <si>
    <t>Change</t>
  </si>
  <si>
    <t>Tennessee Student Assistance Awards</t>
  </si>
  <si>
    <t>Match</t>
  </si>
  <si>
    <t>401k</t>
  </si>
  <si>
    <t>NA</t>
  </si>
  <si>
    <t>Cost Increases</t>
  </si>
  <si>
    <t>Total Higher Education</t>
  </si>
  <si>
    <t xml:space="preserve">401k </t>
  </si>
  <si>
    <t>Total State</t>
  </si>
  <si>
    <t>TN Colleges of Applied Tech</t>
  </si>
  <si>
    <t>Outcomes</t>
  </si>
  <si>
    <t>Tennessee Promise Endowment Scholarships</t>
  </si>
  <si>
    <t>Revisions</t>
  </si>
  <si>
    <t>Recurring Base</t>
  </si>
  <si>
    <t>Lottery for Education Account</t>
  </si>
  <si>
    <t>Adult Learner Initiatives</t>
  </si>
  <si>
    <t>Labor Education Alignment Program</t>
  </si>
  <si>
    <t>Tennessee Higher Education Commission  Administration</t>
  </si>
  <si>
    <t>FOCUS Act</t>
  </si>
  <si>
    <t>UT Health Science Center</t>
  </si>
  <si>
    <t>Veteran Reconnect Grants</t>
  </si>
  <si>
    <t>Seamless Alignment and Integrated Learning Support (SAILS) Program</t>
  </si>
  <si>
    <t>THEC Grants Administration</t>
  </si>
  <si>
    <t>Tennessee Reconnect Community Advisor Program Expansion</t>
  </si>
  <si>
    <t>Tennessee Reconnect Grant Coordinator</t>
  </si>
  <si>
    <t>Capital Projects Coordinator</t>
  </si>
  <si>
    <t>Drive to 55 Support Specialist</t>
  </si>
  <si>
    <t>McWherter Academic Scholars Program</t>
  </si>
  <si>
    <t>Higher Education Capital Maintenance</t>
  </si>
  <si>
    <t>College Completion Initiatives for Minority Students</t>
  </si>
  <si>
    <t>Advise TN (College Advisor Corp)</t>
  </si>
  <si>
    <t>Advise TN (College Advisor Corps)</t>
  </si>
  <si>
    <t>College Coaching</t>
  </si>
  <si>
    <t>Tennessee Promise Bridge Grants</t>
  </si>
  <si>
    <t>Tennessee Reconnect Coordinator</t>
  </si>
  <si>
    <t>2019-20</t>
  </si>
  <si>
    <t>Tennessee Language Center</t>
  </si>
  <si>
    <t>Institute for Public Service: Other Agencies</t>
  </si>
  <si>
    <t>Governor's Investment in Vocational Education (GIVE) - Community Grants</t>
  </si>
  <si>
    <t>Supporting Postsecondary Access in Rural Communities (SPARC)</t>
  </si>
  <si>
    <t>Correctional Education Investment</t>
  </si>
  <si>
    <t>Total Higher Ed and Governor's Initiatives PLUS Lottery</t>
  </si>
  <si>
    <t>Equipment for TN Colleges of Applied Technology</t>
  </si>
  <si>
    <t>2020-21</t>
  </si>
  <si>
    <t>2020-21 Recurring Cost Increases</t>
  </si>
  <si>
    <t>Washington Center Internships</t>
  </si>
  <si>
    <t>Tennessee Promise Forward Grants</t>
  </si>
  <si>
    <t>Statewide Security Grants</t>
  </si>
  <si>
    <t>Training Alignment Grant - Pilot</t>
  </si>
  <si>
    <t>HBCU Summer Bridge Programs</t>
  </si>
  <si>
    <t>2020-21 Work Program - Preliminary</t>
  </si>
  <si>
    <t>Claims</t>
  </si>
  <si>
    <t>2020-21 Recurring Changes</t>
  </si>
  <si>
    <t>TCRS Rate</t>
  </si>
  <si>
    <t>OPEB</t>
  </si>
  <si>
    <t>Increases</t>
  </si>
  <si>
    <t>Adjustment</t>
  </si>
  <si>
    <t>Property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</si>
</sst>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1" formatCode="_(* #,##0_);_(* \(#,##0\);_(* &quot;-&quot;_);_(@_)"/>
    <numFmt numFmtId="43" formatCode="_(* #,##0.00_);_(* \(#,##0.00\);_(* &quot;-&quot;??_);_(@_)"/>
    <numFmt numFmtId="164" formatCode="0.0%"/>
    <numFmt numFmtId="165" formatCode="_(* #,##0_);_(* \(#,##0\);_(* &quot;-&quot;??_);_(@_)"/>
    <numFmt numFmtId="166" formatCode="m/d/yy;@"/>
    <numFmt numFmtId="167" formatCode="0.0000"/>
    <numFmt numFmtId="168" formatCode="&quot;$&quot;#,##0.0_);\(&quot;$&quot;#,##0.0\)"/>
    <numFmt numFmtId="169" formatCode="_(* #,##0.0_);_(* \(#,##0.0\);_(* &quot;-&quot;?_);_(@_)"/>
  </numFmts>
  <fonts count="32" x14ac:knownFonts="1">
    <font>
      <sz val="10"/>
      <name val="Arial"/>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sz val="9"/>
      <color indexed="81"/>
      <name val="Tahoma"/>
      <family val="2"/>
    </font>
    <font>
      <b/>
      <sz val="9"/>
      <color indexed="81"/>
      <name val="Tahoma"/>
      <family val="2"/>
    </font>
    <font>
      <sz val="10"/>
      <color rgb="FFFF0000"/>
      <name val="Open Sans"/>
      <family val="2"/>
    </font>
    <font>
      <b/>
      <sz val="10"/>
      <color rgb="FFFF0000"/>
      <name val="Open Sans"/>
      <family val="2"/>
    </font>
    <font>
      <sz val="12"/>
      <color rgb="FFFF0000"/>
      <name val="Open Sans"/>
      <family val="2"/>
    </font>
    <font>
      <b/>
      <sz val="12"/>
      <color rgb="FFFF0000"/>
      <name val="Open Sans"/>
      <family val="2"/>
    </font>
    <font>
      <b/>
      <sz val="16"/>
      <name val="Open Sans"/>
      <family val="2"/>
    </font>
    <font>
      <sz val="12"/>
      <name val="Open Sans"/>
      <family val="2"/>
    </font>
    <font>
      <sz val="10"/>
      <name val="Open Sans"/>
      <family val="2"/>
    </font>
    <font>
      <b/>
      <sz val="10"/>
      <name val="Open Sans"/>
      <family val="2"/>
    </font>
    <font>
      <sz val="11"/>
      <name val="Open Sans"/>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6" tint="0.39997558519241921"/>
        <bgColor indexed="64"/>
      </patternFill>
    </fill>
  </fills>
  <borders count="5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right/>
      <top/>
      <bottom style="medium">
        <color indexed="64"/>
      </bottom>
      <diagonal/>
    </border>
    <border>
      <left/>
      <right style="thin">
        <color indexed="64"/>
      </right>
      <top/>
      <bottom/>
      <diagonal/>
    </border>
    <border>
      <left/>
      <right/>
      <top style="medium">
        <color indexed="64"/>
      </top>
      <bottom/>
      <diagonal/>
    </border>
    <border>
      <left/>
      <right/>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s>
  <cellStyleXfs count="46">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6" fillId="0" borderId="0"/>
    <xf numFmtId="0" fontId="15" fillId="23" borderId="7" applyNumberFormat="0" applyFont="0" applyAlignment="0" applyProtection="0"/>
    <xf numFmtId="0" fontId="16" fillId="20" borderId="8" applyNumberFormat="0" applyAlignment="0" applyProtection="0"/>
    <xf numFmtId="9" fontId="6"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284">
    <xf numFmtId="0" fontId="0" fillId="0" borderId="0" xfId="0"/>
    <xf numFmtId="41" fontId="23" fillId="0" borderId="10" xfId="0" applyNumberFormat="1" applyFont="1" applyFill="1" applyBorder="1"/>
    <xf numFmtId="165" fontId="23" fillId="0" borderId="11" xfId="28" applyNumberFormat="1" applyFont="1" applyFill="1" applyBorder="1"/>
    <xf numFmtId="0" fontId="25" fillId="0" borderId="0" xfId="0" applyFont="1"/>
    <xf numFmtId="0" fontId="25" fillId="0" borderId="0" xfId="0" applyFont="1" applyFill="1"/>
    <xf numFmtId="5" fontId="23" fillId="0" borderId="11" xfId="0" applyNumberFormat="1" applyFont="1" applyBorder="1"/>
    <xf numFmtId="167" fontId="25" fillId="0" borderId="0" xfId="0" applyNumberFormat="1" applyFont="1"/>
    <xf numFmtId="5" fontId="23" fillId="0" borderId="11" xfId="0" applyNumberFormat="1" applyFont="1" applyFill="1" applyBorder="1"/>
    <xf numFmtId="165" fontId="23" fillId="0" borderId="11" xfId="28" applyNumberFormat="1" applyFont="1" applyBorder="1"/>
    <xf numFmtId="165" fontId="23" fillId="0" borderId="10" xfId="28" applyNumberFormat="1" applyFont="1" applyFill="1" applyBorder="1"/>
    <xf numFmtId="5" fontId="24" fillId="0" borderId="11" xfId="0" applyNumberFormat="1" applyFont="1" applyFill="1" applyBorder="1"/>
    <xf numFmtId="0" fontId="23" fillId="0" borderId="11" xfId="0" applyFont="1" applyFill="1" applyBorder="1"/>
    <xf numFmtId="5" fontId="24" fillId="0" borderId="15" xfId="0" applyNumberFormat="1" applyFont="1" applyFill="1" applyBorder="1"/>
    <xf numFmtId="5" fontId="24" fillId="0" borderId="0" xfId="0" applyNumberFormat="1" applyFont="1" applyBorder="1" applyAlignment="1"/>
    <xf numFmtId="5" fontId="25" fillId="0" borderId="0" xfId="0" applyNumberFormat="1" applyFont="1" applyFill="1"/>
    <xf numFmtId="0" fontId="23" fillId="0" borderId="0" xfId="0" applyFont="1"/>
    <xf numFmtId="0" fontId="25" fillId="0" borderId="0" xfId="0" applyFont="1" applyFill="1" applyBorder="1"/>
    <xf numFmtId="10" fontId="25" fillId="0" borderId="0" xfId="42" applyNumberFormat="1" applyFont="1" applyFill="1"/>
    <xf numFmtId="41" fontId="23" fillId="0" borderId="11" xfId="0" applyNumberFormat="1" applyFont="1" applyFill="1" applyBorder="1"/>
    <xf numFmtId="5" fontId="24" fillId="0" borderId="35" xfId="0" applyNumberFormat="1" applyFont="1" applyFill="1" applyBorder="1"/>
    <xf numFmtId="41" fontId="23" fillId="25" borderId="35" xfId="0" applyNumberFormat="1" applyFont="1" applyFill="1" applyBorder="1"/>
    <xf numFmtId="41" fontId="23" fillId="25" borderId="10" xfId="0" applyNumberFormat="1" applyFont="1" applyFill="1" applyBorder="1"/>
    <xf numFmtId="41" fontId="23" fillId="25" borderId="11" xfId="0" applyNumberFormat="1" applyFont="1" applyFill="1" applyBorder="1"/>
    <xf numFmtId="0" fontId="25" fillId="24" borderId="0" xfId="0" applyFont="1" applyFill="1"/>
    <xf numFmtId="5" fontId="24" fillId="0" borderId="10" xfId="0" applyNumberFormat="1" applyFont="1" applyFill="1" applyBorder="1"/>
    <xf numFmtId="0" fontId="23" fillId="0" borderId="38" xfId="0" applyFont="1" applyFill="1" applyBorder="1" applyAlignment="1"/>
    <xf numFmtId="10" fontId="25" fillId="0" borderId="0" xfId="42" applyNumberFormat="1" applyFont="1" applyFill="1" applyAlignment="1">
      <alignment horizontal="right"/>
    </xf>
    <xf numFmtId="0" fontId="25" fillId="0" borderId="0" xfId="0" applyFont="1" applyFill="1" applyAlignment="1">
      <alignment horizontal="right"/>
    </xf>
    <xf numFmtId="5" fontId="24" fillId="0" borderId="41" xfId="0" applyNumberFormat="1" applyFont="1" applyFill="1" applyBorder="1"/>
    <xf numFmtId="165" fontId="25" fillId="0" borderId="0" xfId="42" applyNumberFormat="1" applyFont="1" applyFill="1" applyAlignment="1">
      <alignment horizontal="right"/>
    </xf>
    <xf numFmtId="0" fontId="23" fillId="0" borderId="0" xfId="0" applyFont="1" applyFill="1" applyAlignment="1"/>
    <xf numFmtId="0" fontId="26" fillId="0" borderId="0" xfId="0" applyFont="1" applyFill="1"/>
    <xf numFmtId="0" fontId="28" fillId="0" borderId="0" xfId="0" applyFont="1"/>
    <xf numFmtId="0" fontId="28" fillId="0" borderId="0" xfId="0" applyFont="1" applyFill="1"/>
    <xf numFmtId="0" fontId="28" fillId="0" borderId="0" xfId="0" applyFont="1" applyBorder="1"/>
    <xf numFmtId="0" fontId="29" fillId="0" borderId="19" xfId="0" applyFont="1" applyBorder="1"/>
    <xf numFmtId="0" fontId="29" fillId="0" borderId="20" xfId="0" applyFont="1" applyBorder="1" applyAlignment="1">
      <alignment horizontal="center"/>
    </xf>
    <xf numFmtId="164" fontId="29" fillId="0" borderId="31" xfId="42" applyNumberFormat="1" applyFont="1" applyBorder="1" applyAlignment="1">
      <alignment horizontal="center"/>
    </xf>
    <xf numFmtId="0" fontId="29" fillId="0" borderId="18" xfId="0" applyFont="1" applyBorder="1"/>
    <xf numFmtId="0" fontId="29" fillId="0" borderId="22" xfId="0" applyFont="1" applyBorder="1"/>
    <xf numFmtId="0" fontId="30" fillId="0" borderId="18" xfId="0" applyFont="1" applyBorder="1"/>
    <xf numFmtId="0" fontId="29" fillId="0" borderId="23" xfId="0" applyFont="1" applyBorder="1"/>
    <xf numFmtId="0" fontId="30" fillId="0" borderId="18" xfId="0" applyFont="1" applyBorder="1" applyAlignment="1">
      <alignment horizontal="right"/>
    </xf>
    <xf numFmtId="0" fontId="28" fillId="0" borderId="18" xfId="0" applyFont="1" applyBorder="1"/>
    <xf numFmtId="0" fontId="30" fillId="0" borderId="18" xfId="0" applyFont="1" applyBorder="1" applyAlignment="1">
      <alignment horizontal="left"/>
    </xf>
    <xf numFmtId="0" fontId="30" fillId="0" borderId="24" xfId="0" applyFont="1" applyBorder="1"/>
    <xf numFmtId="0" fontId="30" fillId="0" borderId="0" xfId="0" applyFont="1" applyBorder="1" applyAlignment="1"/>
    <xf numFmtId="0" fontId="29" fillId="0" borderId="0" xfId="0" applyFont="1"/>
    <xf numFmtId="5" fontId="29" fillId="0" borderId="0" xfId="0" applyNumberFormat="1" applyFont="1" applyBorder="1"/>
    <xf numFmtId="164" fontId="29" fillId="0" borderId="14" xfId="42" applyNumberFormat="1" applyFont="1" applyBorder="1" applyAlignment="1">
      <alignment horizontal="center"/>
    </xf>
    <xf numFmtId="164" fontId="29" fillId="0" borderId="13" xfId="42" applyNumberFormat="1" applyFont="1" applyBorder="1" applyAlignment="1">
      <alignment horizontal="center"/>
    </xf>
    <xf numFmtId="9" fontId="29" fillId="0" borderId="14" xfId="0" applyNumberFormat="1" applyFont="1" applyBorder="1"/>
    <xf numFmtId="5" fontId="29" fillId="0" borderId="14" xfId="0" applyNumberFormat="1" applyFont="1" applyBorder="1"/>
    <xf numFmtId="165" fontId="29" fillId="0" borderId="14" xfId="28" applyNumberFormat="1" applyFont="1" applyBorder="1"/>
    <xf numFmtId="165" fontId="29" fillId="0" borderId="13" xfId="28" applyNumberFormat="1" applyFont="1" applyBorder="1"/>
    <xf numFmtId="5" fontId="30" fillId="0" borderId="14" xfId="0" applyNumberFormat="1" applyFont="1" applyBorder="1"/>
    <xf numFmtId="0" fontId="29" fillId="0" borderId="14" xfId="0" applyFont="1" applyBorder="1"/>
    <xf numFmtId="5" fontId="30" fillId="0" borderId="16" xfId="0" applyNumberFormat="1" applyFont="1" applyBorder="1"/>
    <xf numFmtId="5" fontId="30" fillId="0" borderId="0" xfId="0" applyNumberFormat="1" applyFont="1" applyBorder="1" applyAlignment="1"/>
    <xf numFmtId="0" fontId="29" fillId="0" borderId="37" xfId="0" applyFont="1" applyBorder="1" applyAlignment="1">
      <alignment horizontal="center"/>
    </xf>
    <xf numFmtId="164" fontId="29" fillId="0" borderId="29" xfId="42" applyNumberFormat="1" applyFont="1" applyBorder="1" applyAlignment="1">
      <alignment horizontal="center"/>
    </xf>
    <xf numFmtId="0" fontId="29" fillId="0" borderId="39" xfId="0" applyFont="1" applyBorder="1" applyAlignment="1">
      <alignment horizontal="center"/>
    </xf>
    <xf numFmtId="9" fontId="29" fillId="0" borderId="0" xfId="0" applyNumberFormat="1" applyFont="1" applyBorder="1"/>
    <xf numFmtId="165" fontId="29" fillId="0" borderId="0" xfId="28" applyNumberFormat="1" applyFont="1" applyBorder="1"/>
    <xf numFmtId="165" fontId="29" fillId="0" borderId="39" xfId="28" applyNumberFormat="1" applyFont="1" applyBorder="1"/>
    <xf numFmtId="5" fontId="30" fillId="0" borderId="0" xfId="0" applyNumberFormat="1" applyFont="1" applyBorder="1"/>
    <xf numFmtId="0" fontId="29" fillId="0" borderId="0" xfId="0" applyFont="1" applyBorder="1"/>
    <xf numFmtId="5" fontId="30" fillId="0" borderId="36" xfId="0" applyNumberFormat="1" applyFont="1" applyBorder="1"/>
    <xf numFmtId="0" fontId="29" fillId="0" borderId="19" xfId="0" applyFont="1" applyFill="1" applyBorder="1"/>
    <xf numFmtId="0" fontId="29" fillId="0" borderId="34" xfId="0" applyFont="1" applyFill="1" applyBorder="1" applyAlignment="1">
      <alignment horizontal="center"/>
    </xf>
    <xf numFmtId="0" fontId="29" fillId="0" borderId="18" xfId="0" applyFont="1" applyFill="1" applyBorder="1"/>
    <xf numFmtId="164" fontId="29" fillId="0" borderId="12" xfId="42" applyNumberFormat="1" applyFont="1" applyFill="1" applyBorder="1" applyAlignment="1">
      <alignment horizontal="center"/>
    </xf>
    <xf numFmtId="164" fontId="29" fillId="0" borderId="32" xfId="42" applyNumberFormat="1" applyFont="1" applyFill="1" applyBorder="1" applyAlignment="1">
      <alignment horizontal="center"/>
    </xf>
    <xf numFmtId="166" fontId="29" fillId="0" borderId="14" xfId="42" applyNumberFormat="1" applyFont="1" applyFill="1" applyBorder="1" applyAlignment="1">
      <alignment horizontal="center"/>
    </xf>
    <xf numFmtId="0" fontId="29" fillId="0" borderId="22" xfId="0" applyFont="1" applyFill="1" applyBorder="1"/>
    <xf numFmtId="164" fontId="29" fillId="0" borderId="28" xfId="42" applyNumberFormat="1" applyFont="1" applyFill="1" applyBorder="1" applyAlignment="1">
      <alignment horizontal="center"/>
    </xf>
    <xf numFmtId="164" fontId="29" fillId="0" borderId="23" xfId="42" applyNumberFormat="1" applyFont="1" applyFill="1" applyBorder="1" applyAlignment="1">
      <alignment horizontal="center"/>
    </xf>
    <xf numFmtId="164" fontId="29" fillId="0" borderId="13" xfId="42" applyNumberFormat="1" applyFont="1" applyFill="1" applyBorder="1" applyAlignment="1">
      <alignment horizontal="center"/>
    </xf>
    <xf numFmtId="0" fontId="30" fillId="0" borderId="18" xfId="0" applyFont="1" applyFill="1" applyBorder="1"/>
    <xf numFmtId="5" fontId="29" fillId="0" borderId="12" xfId="0" applyNumberFormat="1" applyFont="1" applyFill="1" applyBorder="1"/>
    <xf numFmtId="5" fontId="29" fillId="0" borderId="18" xfId="0" applyNumberFormat="1" applyFont="1" applyFill="1" applyBorder="1"/>
    <xf numFmtId="9" fontId="29" fillId="0" borderId="14" xfId="0" applyNumberFormat="1" applyFont="1" applyFill="1" applyBorder="1"/>
    <xf numFmtId="5" fontId="29" fillId="0" borderId="14" xfId="0" applyNumberFormat="1" applyFont="1" applyFill="1" applyBorder="1"/>
    <xf numFmtId="41" fontId="29" fillId="0" borderId="12" xfId="0" applyNumberFormat="1" applyFont="1" applyFill="1" applyBorder="1"/>
    <xf numFmtId="41" fontId="29" fillId="0" borderId="18" xfId="0" applyNumberFormat="1" applyFont="1" applyFill="1" applyBorder="1"/>
    <xf numFmtId="41" fontId="29" fillId="0" borderId="14" xfId="0" applyNumberFormat="1" applyFont="1" applyFill="1" applyBorder="1"/>
    <xf numFmtId="0" fontId="29" fillId="0" borderId="32" xfId="0" applyFont="1" applyFill="1" applyBorder="1"/>
    <xf numFmtId="0" fontId="30" fillId="0" borderId="18" xfId="0" applyFont="1" applyFill="1" applyBorder="1" applyAlignment="1">
      <alignment horizontal="right"/>
    </xf>
    <xf numFmtId="5" fontId="30" fillId="0" borderId="27" xfId="0" applyNumberFormat="1" applyFont="1" applyFill="1" applyBorder="1"/>
    <xf numFmtId="5" fontId="30" fillId="0" borderId="52" xfId="0" applyNumberFormat="1" applyFont="1" applyFill="1" applyBorder="1"/>
    <xf numFmtId="5" fontId="30" fillId="0" borderId="25" xfId="0" applyNumberFormat="1" applyFont="1" applyFill="1" applyBorder="1"/>
    <xf numFmtId="0" fontId="29" fillId="0" borderId="12" xfId="0" applyFont="1" applyFill="1" applyBorder="1"/>
    <xf numFmtId="0" fontId="29" fillId="0" borderId="14" xfId="0" applyFont="1" applyFill="1" applyBorder="1"/>
    <xf numFmtId="0" fontId="29" fillId="25" borderId="26" xfId="0" applyFont="1" applyFill="1" applyBorder="1" applyAlignment="1">
      <alignment horizontal="right"/>
    </xf>
    <xf numFmtId="41" fontId="29" fillId="25" borderId="27" xfId="0" applyNumberFormat="1" applyFont="1" applyFill="1" applyBorder="1"/>
    <xf numFmtId="41" fontId="29" fillId="25" borderId="26" xfId="0" applyNumberFormat="1" applyFont="1" applyFill="1" applyBorder="1"/>
    <xf numFmtId="41" fontId="29" fillId="25" borderId="25" xfId="0" applyNumberFormat="1" applyFont="1" applyFill="1" applyBorder="1"/>
    <xf numFmtId="0" fontId="29" fillId="25" borderId="23" xfId="0" applyFont="1" applyFill="1" applyBorder="1" applyAlignment="1">
      <alignment horizontal="right"/>
    </xf>
    <xf numFmtId="41" fontId="29" fillId="25" borderId="28" xfId="0" applyNumberFormat="1" applyFont="1" applyFill="1" applyBorder="1"/>
    <xf numFmtId="41" fontId="29" fillId="25" borderId="22" xfId="0" applyNumberFormat="1" applyFont="1" applyFill="1" applyBorder="1"/>
    <xf numFmtId="41" fontId="29" fillId="25" borderId="13" xfId="0" applyNumberFormat="1" applyFont="1" applyFill="1" applyBorder="1"/>
    <xf numFmtId="0" fontId="29" fillId="0" borderId="23" xfId="0" applyFont="1" applyFill="1" applyBorder="1"/>
    <xf numFmtId="41" fontId="29" fillId="0" borderId="28" xfId="0" applyNumberFormat="1" applyFont="1" applyFill="1" applyBorder="1"/>
    <xf numFmtId="41" fontId="29" fillId="0" borderId="22" xfId="0" applyNumberFormat="1" applyFont="1" applyFill="1" applyBorder="1"/>
    <xf numFmtId="41" fontId="29" fillId="0" borderId="13" xfId="0" applyNumberFormat="1" applyFont="1" applyFill="1" applyBorder="1"/>
    <xf numFmtId="5" fontId="30" fillId="0" borderId="12" xfId="0" applyNumberFormat="1" applyFont="1" applyFill="1" applyBorder="1"/>
    <xf numFmtId="5" fontId="30" fillId="0" borderId="32" xfId="0" applyNumberFormat="1" applyFont="1" applyFill="1" applyBorder="1"/>
    <xf numFmtId="5" fontId="30" fillId="0" borderId="14" xfId="0" applyNumberFormat="1" applyFont="1" applyFill="1" applyBorder="1"/>
    <xf numFmtId="165" fontId="29" fillId="0" borderId="12" xfId="28" applyNumberFormat="1" applyFont="1" applyFill="1" applyBorder="1"/>
    <xf numFmtId="165" fontId="29" fillId="0" borderId="18" xfId="28" applyNumberFormat="1" applyFont="1" applyFill="1" applyBorder="1"/>
    <xf numFmtId="165" fontId="29" fillId="0" borderId="14" xfId="28" applyNumberFormat="1" applyFont="1" applyFill="1" applyBorder="1"/>
    <xf numFmtId="41" fontId="29" fillId="0" borderId="32" xfId="0" applyNumberFormat="1" applyFont="1" applyFill="1" applyBorder="1"/>
    <xf numFmtId="0" fontId="29" fillId="25" borderId="18" xfId="0" applyFont="1" applyFill="1" applyBorder="1" applyAlignment="1">
      <alignment horizontal="right"/>
    </xf>
    <xf numFmtId="41" fontId="29" fillId="25" borderId="12" xfId="0" applyNumberFormat="1" applyFont="1" applyFill="1" applyBorder="1"/>
    <xf numFmtId="41" fontId="29" fillId="25" borderId="18" xfId="0" applyNumberFormat="1" applyFont="1" applyFill="1" applyBorder="1"/>
    <xf numFmtId="41" fontId="29" fillId="25" borderId="14" xfId="0" applyNumberFormat="1" applyFont="1" applyFill="1" applyBorder="1"/>
    <xf numFmtId="0" fontId="29" fillId="25" borderId="22" xfId="0" applyFont="1" applyFill="1" applyBorder="1" applyAlignment="1">
      <alignment horizontal="right"/>
    </xf>
    <xf numFmtId="0" fontId="30" fillId="0" borderId="26" xfId="0" applyFont="1" applyFill="1" applyBorder="1" applyAlignment="1">
      <alignment horizontal="right"/>
    </xf>
    <xf numFmtId="0" fontId="30" fillId="0" borderId="23" xfId="0" applyFont="1" applyFill="1" applyBorder="1" applyAlignment="1">
      <alignment horizontal="right"/>
    </xf>
    <xf numFmtId="5" fontId="30" fillId="0" borderId="28" xfId="0" applyNumberFormat="1" applyFont="1" applyFill="1" applyBorder="1"/>
    <xf numFmtId="5" fontId="30" fillId="0" borderId="23" xfId="0" applyNumberFormat="1" applyFont="1" applyFill="1" applyBorder="1"/>
    <xf numFmtId="5" fontId="30" fillId="0" borderId="13" xfId="0" applyNumberFormat="1" applyFont="1" applyFill="1" applyBorder="1"/>
    <xf numFmtId="5" fontId="30" fillId="0" borderId="26" xfId="0" applyNumberFormat="1" applyFont="1" applyFill="1" applyBorder="1"/>
    <xf numFmtId="165" fontId="29" fillId="25" borderId="27" xfId="28" applyNumberFormat="1" applyFont="1" applyFill="1" applyBorder="1"/>
    <xf numFmtId="165" fontId="29" fillId="25" borderId="12" xfId="28" applyNumberFormat="1" applyFont="1" applyFill="1" applyBorder="1"/>
    <xf numFmtId="165" fontId="29" fillId="25" borderId="28" xfId="28" applyNumberFormat="1" applyFont="1" applyFill="1" applyBorder="1"/>
    <xf numFmtId="0" fontId="30" fillId="0" borderId="24" xfId="0" applyFont="1" applyFill="1" applyBorder="1" applyAlignment="1">
      <alignment horizontal="right"/>
    </xf>
    <xf numFmtId="5" fontId="30" fillId="0" borderId="17" xfId="0" applyNumberFormat="1" applyFont="1" applyFill="1" applyBorder="1"/>
    <xf numFmtId="5" fontId="30" fillId="0" borderId="33" xfId="0" applyNumberFormat="1" applyFont="1" applyFill="1" applyBorder="1"/>
    <xf numFmtId="5" fontId="30" fillId="0" borderId="16" xfId="0" applyNumberFormat="1" applyFont="1" applyFill="1" applyBorder="1"/>
    <xf numFmtId="0" fontId="29" fillId="0" borderId="38" xfId="0" applyFont="1" applyFill="1" applyBorder="1" applyAlignment="1"/>
    <xf numFmtId="5" fontId="29" fillId="0" borderId="38" xfId="0" applyNumberFormat="1" applyFont="1" applyFill="1" applyBorder="1" applyAlignment="1"/>
    <xf numFmtId="10" fontId="29" fillId="0" borderId="38" xfId="42" applyNumberFormat="1" applyFont="1" applyFill="1" applyBorder="1" applyAlignment="1"/>
    <xf numFmtId="165" fontId="29" fillId="0" borderId="38" xfId="0" applyNumberFormat="1" applyFont="1" applyFill="1" applyBorder="1" applyAlignment="1"/>
    <xf numFmtId="0" fontId="30" fillId="0" borderId="40" xfId="0" applyFont="1" applyFill="1" applyBorder="1" applyAlignment="1">
      <alignment horizontal="right"/>
    </xf>
    <xf numFmtId="5" fontId="30" fillId="0" borderId="42" xfId="0" applyNumberFormat="1" applyFont="1" applyFill="1" applyBorder="1"/>
    <xf numFmtId="5" fontId="30" fillId="0" borderId="44" xfId="0" applyNumberFormat="1" applyFont="1" applyFill="1" applyBorder="1"/>
    <xf numFmtId="0" fontId="29" fillId="0" borderId="0" xfId="0" applyFont="1" applyFill="1" applyAlignment="1"/>
    <xf numFmtId="5" fontId="30" fillId="26" borderId="42" xfId="0" applyNumberFormat="1" applyFont="1" applyFill="1" applyBorder="1"/>
    <xf numFmtId="165" fontId="31" fillId="0" borderId="0" xfId="28" applyNumberFormat="1" applyFont="1" applyFill="1" applyBorder="1"/>
    <xf numFmtId="5" fontId="29" fillId="0" borderId="0" xfId="0" applyNumberFormat="1" applyFont="1" applyFill="1" applyAlignment="1"/>
    <xf numFmtId="165" fontId="28" fillId="0" borderId="0" xfId="28" applyNumberFormat="1" applyFont="1" applyFill="1"/>
    <xf numFmtId="5" fontId="28" fillId="0" borderId="0" xfId="0" applyNumberFormat="1" applyFont="1" applyFill="1"/>
    <xf numFmtId="0" fontId="28" fillId="0" borderId="0" xfId="0" applyFont="1" applyFill="1" applyBorder="1"/>
    <xf numFmtId="0" fontId="29" fillId="0" borderId="48" xfId="0" applyFont="1" applyFill="1" applyBorder="1" applyAlignment="1">
      <alignment horizontal="center"/>
    </xf>
    <xf numFmtId="164" fontId="29" fillId="0" borderId="21" xfId="42" applyNumberFormat="1" applyFont="1" applyFill="1" applyBorder="1" applyAlignment="1">
      <alignment horizontal="center"/>
    </xf>
    <xf numFmtId="0" fontId="29" fillId="0" borderId="20" xfId="0" applyFont="1" applyFill="1" applyBorder="1" applyAlignment="1">
      <alignment horizontal="center"/>
    </xf>
    <xf numFmtId="0" fontId="29" fillId="0" borderId="32" xfId="0" applyFont="1" applyFill="1" applyBorder="1" applyAlignment="1">
      <alignment horizontal="center"/>
    </xf>
    <xf numFmtId="0" fontId="29" fillId="0" borderId="11" xfId="0" applyFont="1" applyFill="1" applyBorder="1" applyAlignment="1">
      <alignment horizontal="center"/>
    </xf>
    <xf numFmtId="164" fontId="29" fillId="0" borderId="11" xfId="42" applyNumberFormat="1" applyFont="1" applyFill="1" applyBorder="1" applyAlignment="1">
      <alignment horizontal="center"/>
    </xf>
    <xf numFmtId="166" fontId="29" fillId="0" borderId="29" xfId="42" applyNumberFormat="1" applyFont="1" applyFill="1" applyBorder="1" applyAlignment="1">
      <alignment horizontal="center"/>
    </xf>
    <xf numFmtId="166" fontId="29" fillId="0" borderId="32" xfId="42" applyNumberFormat="1" applyFont="1" applyFill="1" applyBorder="1" applyAlignment="1">
      <alignment horizontal="center"/>
    </xf>
    <xf numFmtId="43" fontId="29" fillId="0" borderId="11" xfId="28" applyFont="1" applyFill="1" applyBorder="1" applyAlignment="1">
      <alignment horizontal="center"/>
    </xf>
    <xf numFmtId="0" fontId="29" fillId="0" borderId="14" xfId="0" applyFont="1" applyFill="1" applyBorder="1" applyAlignment="1">
      <alignment horizontal="center"/>
    </xf>
    <xf numFmtId="0" fontId="29" fillId="0" borderId="23" xfId="0" applyFont="1" applyFill="1" applyBorder="1" applyAlignment="1">
      <alignment horizontal="center"/>
    </xf>
    <xf numFmtId="0" fontId="29" fillId="0" borderId="10" xfId="0" applyFont="1" applyFill="1" applyBorder="1" applyAlignment="1">
      <alignment horizontal="center"/>
    </xf>
    <xf numFmtId="164" fontId="29" fillId="0" borderId="10" xfId="42" applyNumberFormat="1" applyFont="1" applyFill="1" applyBorder="1" applyAlignment="1">
      <alignment horizontal="center"/>
    </xf>
    <xf numFmtId="164" fontId="29" fillId="0" borderId="30" xfId="42" applyNumberFormat="1" applyFont="1" applyFill="1" applyBorder="1" applyAlignment="1">
      <alignment horizontal="center"/>
    </xf>
    <xf numFmtId="0" fontId="29" fillId="0" borderId="13" xfId="0" applyFont="1" applyFill="1" applyBorder="1" applyAlignment="1">
      <alignment horizontal="center"/>
    </xf>
    <xf numFmtId="0" fontId="29" fillId="0" borderId="32" xfId="0" applyFont="1" applyBorder="1" applyAlignment="1">
      <alignment horizontal="center"/>
    </xf>
    <xf numFmtId="0" fontId="29" fillId="0" borderId="11" xfId="0" applyFont="1" applyBorder="1" applyAlignment="1">
      <alignment horizontal="center"/>
    </xf>
    <xf numFmtId="166" fontId="29" fillId="0" borderId="14" xfId="42" applyNumberFormat="1" applyFont="1" applyBorder="1" applyAlignment="1">
      <alignment horizontal="center"/>
    </xf>
    <xf numFmtId="43" fontId="29" fillId="0" borderId="29" xfId="28" applyFont="1" applyBorder="1" applyAlignment="1">
      <alignment horizontal="center"/>
    </xf>
    <xf numFmtId="43" fontId="29" fillId="0" borderId="32" xfId="28" applyFont="1" applyBorder="1" applyAlignment="1">
      <alignment horizontal="center"/>
    </xf>
    <xf numFmtId="43" fontId="29" fillId="0" borderId="11" xfId="28" applyFont="1" applyBorder="1" applyAlignment="1">
      <alignment horizontal="center"/>
    </xf>
    <xf numFmtId="43" fontId="29" fillId="0" borderId="14" xfId="28" applyFont="1" applyBorder="1" applyAlignment="1">
      <alignment horizontal="center"/>
    </xf>
    <xf numFmtId="0" fontId="29" fillId="0" borderId="14" xfId="0" applyFont="1" applyBorder="1" applyAlignment="1">
      <alignment horizontal="center"/>
    </xf>
    <xf numFmtId="0" fontId="29" fillId="0" borderId="23" xfId="0" applyFont="1" applyBorder="1" applyAlignment="1">
      <alignment horizontal="center"/>
    </xf>
    <xf numFmtId="0" fontId="29" fillId="0" borderId="10" xfId="0" applyFont="1" applyBorder="1" applyAlignment="1">
      <alignment horizontal="center"/>
    </xf>
    <xf numFmtId="164" fontId="29" fillId="0" borderId="10" xfId="42" applyNumberFormat="1" applyFont="1" applyBorder="1" applyAlignment="1">
      <alignment horizontal="center"/>
    </xf>
    <xf numFmtId="164" fontId="29" fillId="0" borderId="30" xfId="42" applyNumberFormat="1" applyFont="1" applyBorder="1" applyAlignment="1">
      <alignment horizontal="center"/>
    </xf>
    <xf numFmtId="164" fontId="29" fillId="0" borderId="23" xfId="42" applyNumberFormat="1" applyFont="1" applyBorder="1" applyAlignment="1">
      <alignment horizontal="center"/>
    </xf>
    <xf numFmtId="0" fontId="29" fillId="0" borderId="13" xfId="0" applyFont="1" applyBorder="1" applyAlignment="1">
      <alignment horizontal="center"/>
    </xf>
    <xf numFmtId="9" fontId="29" fillId="0" borderId="32" xfId="0" applyNumberFormat="1" applyFont="1" applyBorder="1"/>
    <xf numFmtId="5" fontId="29" fillId="0" borderId="32" xfId="0" applyNumberFormat="1" applyFont="1" applyBorder="1"/>
    <xf numFmtId="165" fontId="29" fillId="0" borderId="32" xfId="28" applyNumberFormat="1" applyFont="1" applyBorder="1"/>
    <xf numFmtId="165" fontId="29" fillId="0" borderId="32" xfId="28" applyNumberFormat="1" applyFont="1" applyFill="1" applyBorder="1"/>
    <xf numFmtId="165" fontId="29" fillId="0" borderId="23" xfId="28" applyNumberFormat="1" applyFont="1" applyFill="1" applyBorder="1"/>
    <xf numFmtId="5" fontId="29" fillId="0" borderId="32" xfId="0" applyNumberFormat="1" applyFont="1" applyFill="1" applyBorder="1"/>
    <xf numFmtId="9" fontId="29" fillId="0" borderId="11" xfId="0" applyNumberFormat="1" applyFont="1" applyBorder="1"/>
    <xf numFmtId="5" fontId="29" fillId="0" borderId="11" xfId="0" applyNumberFormat="1" applyFont="1" applyBorder="1"/>
    <xf numFmtId="165" fontId="29" fillId="0" borderId="11" xfId="28" applyNumberFormat="1" applyFont="1" applyBorder="1"/>
    <xf numFmtId="165" fontId="29" fillId="0" borderId="11" xfId="28" applyNumberFormat="1" applyFont="1" applyFill="1" applyBorder="1"/>
    <xf numFmtId="165" fontId="29" fillId="0" borderId="10" xfId="28" applyNumberFormat="1" applyFont="1" applyFill="1" applyBorder="1"/>
    <xf numFmtId="5" fontId="30" fillId="0" borderId="11" xfId="0" applyNumberFormat="1" applyFont="1" applyFill="1" applyBorder="1"/>
    <xf numFmtId="0" fontId="29" fillId="0" borderId="11" xfId="0" applyFont="1" applyFill="1" applyBorder="1"/>
    <xf numFmtId="5" fontId="29" fillId="0" borderId="11" xfId="0" applyNumberFormat="1" applyFont="1" applyFill="1" applyBorder="1"/>
    <xf numFmtId="5" fontId="30" fillId="0" borderId="15" xfId="0" applyNumberFormat="1" applyFont="1" applyFill="1" applyBorder="1"/>
    <xf numFmtId="9" fontId="29" fillId="0" borderId="32" xfId="0" applyNumberFormat="1" applyFont="1" applyFill="1" applyBorder="1"/>
    <xf numFmtId="9" fontId="29" fillId="0" borderId="11" xfId="0" applyNumberFormat="1" applyFont="1" applyFill="1" applyBorder="1"/>
    <xf numFmtId="41" fontId="29" fillId="0" borderId="11" xfId="0" applyNumberFormat="1" applyFont="1" applyFill="1" applyBorder="1"/>
    <xf numFmtId="5" fontId="30" fillId="0" borderId="35" xfId="0" applyNumberFormat="1" applyFont="1" applyFill="1" applyBorder="1"/>
    <xf numFmtId="41" fontId="29" fillId="25" borderId="35" xfId="0" applyNumberFormat="1" applyFont="1" applyFill="1" applyBorder="1"/>
    <xf numFmtId="41" fontId="29" fillId="25" borderId="10" xfId="0" applyNumberFormat="1" applyFont="1" applyFill="1" applyBorder="1"/>
    <xf numFmtId="41" fontId="29" fillId="0" borderId="10" xfId="0" applyNumberFormat="1" applyFont="1" applyFill="1" applyBorder="1"/>
    <xf numFmtId="41" fontId="29" fillId="25" borderId="11" xfId="0" applyNumberFormat="1" applyFont="1" applyFill="1" applyBorder="1"/>
    <xf numFmtId="5" fontId="30" fillId="0" borderId="10" xfId="0" applyNumberFormat="1" applyFont="1" applyFill="1" applyBorder="1"/>
    <xf numFmtId="5" fontId="30" fillId="0" borderId="41" xfId="0" applyNumberFormat="1" applyFont="1" applyFill="1" applyBorder="1"/>
    <xf numFmtId="168" fontId="29" fillId="0" borderId="0" xfId="0" applyNumberFormat="1" applyFont="1" applyFill="1" applyAlignment="1"/>
    <xf numFmtId="169" fontId="29" fillId="0" borderId="0" xfId="0" applyNumberFormat="1" applyFont="1" applyFill="1" applyAlignment="1"/>
    <xf numFmtId="165" fontId="29" fillId="0" borderId="13" xfId="28" applyNumberFormat="1" applyFont="1" applyFill="1" applyBorder="1"/>
    <xf numFmtId="5" fontId="30" fillId="0" borderId="56" xfId="0" applyNumberFormat="1" applyFont="1" applyFill="1" applyBorder="1"/>
    <xf numFmtId="165" fontId="29" fillId="0" borderId="29" xfId="28" applyNumberFormat="1" applyFont="1" applyFill="1" applyBorder="1"/>
    <xf numFmtId="5" fontId="30" fillId="0" borderId="29" xfId="0" applyNumberFormat="1" applyFont="1" applyFill="1" applyBorder="1"/>
    <xf numFmtId="9" fontId="29" fillId="0" borderId="53" xfId="0" applyNumberFormat="1" applyFont="1" applyBorder="1"/>
    <xf numFmtId="5" fontId="29" fillId="0" borderId="29" xfId="0" applyNumberFormat="1" applyFont="1" applyBorder="1"/>
    <xf numFmtId="165" fontId="29" fillId="0" borderId="29" xfId="28" applyNumberFormat="1" applyFont="1" applyBorder="1"/>
    <xf numFmtId="165" fontId="29" fillId="0" borderId="30" xfId="28" applyNumberFormat="1" applyFont="1" applyFill="1" applyBorder="1"/>
    <xf numFmtId="0" fontId="29" fillId="0" borderId="29" xfId="0" applyFont="1" applyFill="1" applyBorder="1"/>
    <xf numFmtId="5" fontId="29" fillId="0" borderId="29" xfId="0" applyNumberFormat="1" applyFont="1" applyFill="1" applyBorder="1"/>
    <xf numFmtId="5" fontId="30" fillId="0" borderId="54" xfId="0" applyNumberFormat="1" applyFont="1" applyFill="1" applyBorder="1"/>
    <xf numFmtId="9" fontId="29" fillId="0" borderId="29" xfId="0" applyNumberFormat="1" applyFont="1" applyFill="1" applyBorder="1"/>
    <xf numFmtId="164" fontId="29" fillId="0" borderId="11" xfId="42" applyNumberFormat="1" applyFont="1" applyFill="1" applyBorder="1"/>
    <xf numFmtId="9" fontId="29" fillId="0" borderId="25" xfId="0" applyNumberFormat="1" applyFont="1" applyFill="1" applyBorder="1"/>
    <xf numFmtId="164" fontId="29" fillId="0" borderId="14" xfId="42" applyNumberFormat="1" applyFont="1" applyFill="1" applyBorder="1" applyAlignment="1">
      <alignment horizontal="center"/>
    </xf>
    <xf numFmtId="164" fontId="30" fillId="0" borderId="25" xfId="42" applyNumberFormat="1" applyFont="1" applyFill="1" applyBorder="1" applyAlignment="1">
      <alignment horizontal="center"/>
    </xf>
    <xf numFmtId="164" fontId="29" fillId="25" borderId="25" xfId="42" applyNumberFormat="1" applyFont="1" applyFill="1" applyBorder="1" applyAlignment="1">
      <alignment horizontal="center"/>
    </xf>
    <xf numFmtId="164" fontId="29" fillId="25" borderId="13" xfId="42" applyNumberFormat="1" applyFont="1" applyFill="1" applyBorder="1" applyAlignment="1">
      <alignment horizontal="center"/>
    </xf>
    <xf numFmtId="164" fontId="30" fillId="0" borderId="14" xfId="42" applyNumberFormat="1" applyFont="1" applyFill="1" applyBorder="1" applyAlignment="1">
      <alignment horizontal="center"/>
    </xf>
    <xf numFmtId="164" fontId="29" fillId="25" borderId="14" xfId="42" applyNumberFormat="1" applyFont="1" applyFill="1" applyBorder="1" applyAlignment="1">
      <alignment horizontal="center"/>
    </xf>
    <xf numFmtId="164" fontId="30" fillId="0" borderId="13" xfId="42" applyNumberFormat="1" applyFont="1" applyFill="1" applyBorder="1" applyAlignment="1">
      <alignment horizontal="center"/>
    </xf>
    <xf numFmtId="164" fontId="30" fillId="0" borderId="16" xfId="42" applyNumberFormat="1" applyFont="1" applyFill="1" applyBorder="1" applyAlignment="1">
      <alignment horizontal="center"/>
    </xf>
    <xf numFmtId="165" fontId="29" fillId="0" borderId="38" xfId="28" applyNumberFormat="1" applyFont="1" applyFill="1" applyBorder="1" applyAlignment="1"/>
    <xf numFmtId="5" fontId="30" fillId="0" borderId="57" xfId="0" applyNumberFormat="1" applyFont="1" applyFill="1" applyBorder="1"/>
    <xf numFmtId="5" fontId="30" fillId="0" borderId="43" xfId="0" applyNumberFormat="1" applyFont="1" applyFill="1" applyBorder="1"/>
    <xf numFmtId="164" fontId="30" fillId="0" borderId="44" xfId="42" applyNumberFormat="1" applyFont="1" applyFill="1" applyBorder="1" applyAlignment="1">
      <alignment horizontal="center"/>
    </xf>
    <xf numFmtId="165" fontId="29" fillId="0" borderId="0" xfId="28" applyNumberFormat="1" applyFont="1" applyFill="1" applyBorder="1" applyAlignment="1"/>
    <xf numFmtId="164" fontId="29" fillId="0" borderId="0" xfId="42" applyNumberFormat="1" applyFont="1" applyFill="1" applyAlignment="1"/>
    <xf numFmtId="43" fontId="29" fillId="0" borderId="0" xfId="28" applyFont="1" applyFill="1" applyAlignment="1"/>
    <xf numFmtId="164" fontId="29" fillId="0" borderId="14" xfId="42" applyNumberFormat="1" applyFont="1" applyFill="1" applyBorder="1"/>
    <xf numFmtId="164" fontId="29" fillId="0" borderId="32" xfId="42" applyNumberFormat="1" applyFont="1" applyBorder="1"/>
    <xf numFmtId="165" fontId="29" fillId="0" borderId="10" xfId="28" applyNumberFormat="1" applyFont="1" applyBorder="1"/>
    <xf numFmtId="165" fontId="29" fillId="0" borderId="23" xfId="28" applyNumberFormat="1" applyFont="1" applyBorder="1"/>
    <xf numFmtId="5" fontId="30" fillId="0" borderId="11" xfId="0" applyNumberFormat="1" applyFont="1" applyBorder="1"/>
    <xf numFmtId="5" fontId="30" fillId="0" borderId="32" xfId="0" applyNumberFormat="1" applyFont="1" applyBorder="1"/>
    <xf numFmtId="164" fontId="30" fillId="0" borderId="14" xfId="42" applyNumberFormat="1" applyFont="1" applyBorder="1" applyAlignment="1">
      <alignment horizontal="center"/>
    </xf>
    <xf numFmtId="0" fontId="29" fillId="0" borderId="11" xfId="0" applyFont="1" applyBorder="1"/>
    <xf numFmtId="0" fontId="29" fillId="0" borderId="32" xfId="0" applyFont="1" applyBorder="1"/>
    <xf numFmtId="5" fontId="30" fillId="0" borderId="15" xfId="0" applyNumberFormat="1" applyFont="1" applyBorder="1"/>
    <xf numFmtId="5" fontId="30" fillId="0" borderId="33" xfId="0" applyNumberFormat="1" applyFont="1" applyBorder="1"/>
    <xf numFmtId="164" fontId="30" fillId="0" borderId="16" xfId="42" applyNumberFormat="1" applyFont="1" applyBorder="1" applyAlignment="1">
      <alignment horizontal="center"/>
    </xf>
    <xf numFmtId="164" fontId="30" fillId="0" borderId="0" xfId="42" applyNumberFormat="1" applyFont="1" applyBorder="1" applyAlignment="1">
      <alignment horizontal="center"/>
    </xf>
    <xf numFmtId="166" fontId="29" fillId="0" borderId="0" xfId="42" applyNumberFormat="1" applyFont="1" applyBorder="1" applyAlignment="1">
      <alignment horizontal="center"/>
    </xf>
    <xf numFmtId="164" fontId="29" fillId="0" borderId="39" xfId="42" applyNumberFormat="1" applyFont="1" applyBorder="1" applyAlignment="1">
      <alignment horizontal="center"/>
    </xf>
    <xf numFmtId="165" fontId="29" fillId="0" borderId="0" xfId="28" applyNumberFormat="1" applyFont="1" applyFill="1" applyBorder="1"/>
    <xf numFmtId="165" fontId="29" fillId="0" borderId="39" xfId="28" applyNumberFormat="1" applyFont="1" applyFill="1" applyBorder="1"/>
    <xf numFmtId="5" fontId="30" fillId="0" borderId="0" xfId="0" applyNumberFormat="1" applyFont="1" applyFill="1" applyBorder="1"/>
    <xf numFmtId="0" fontId="29" fillId="0" borderId="0" xfId="0" applyFont="1" applyFill="1" applyBorder="1"/>
    <xf numFmtId="5" fontId="29" fillId="0" borderId="0" xfId="0" applyNumberFormat="1" applyFont="1" applyFill="1" applyBorder="1"/>
    <xf numFmtId="5" fontId="30" fillId="0" borderId="36" xfId="0" applyNumberFormat="1" applyFont="1" applyFill="1" applyBorder="1"/>
    <xf numFmtId="166" fontId="29" fillId="0" borderId="25" xfId="42" applyNumberFormat="1" applyFont="1" applyBorder="1" applyAlignment="1">
      <alignment horizontal="center"/>
    </xf>
    <xf numFmtId="9" fontId="29" fillId="0" borderId="35" xfId="0" applyNumberFormat="1" applyFont="1" applyBorder="1"/>
    <xf numFmtId="166" fontId="29" fillId="0" borderId="35" xfId="42" applyNumberFormat="1" applyFont="1" applyBorder="1" applyAlignment="1">
      <alignment horizontal="center"/>
    </xf>
    <xf numFmtId="166" fontId="29" fillId="0" borderId="45" xfId="42" applyNumberFormat="1" applyFont="1" applyBorder="1" applyAlignment="1">
      <alignment horizontal="center"/>
    </xf>
    <xf numFmtId="9" fontId="29" fillId="0" borderId="12" xfId="0" applyNumberFormat="1" applyFont="1" applyBorder="1"/>
    <xf numFmtId="5" fontId="29" fillId="0" borderId="12" xfId="0" applyNumberFormat="1" applyFont="1" applyBorder="1"/>
    <xf numFmtId="165" fontId="29" fillId="0" borderId="12" xfId="28" applyNumberFormat="1" applyFont="1" applyBorder="1"/>
    <xf numFmtId="165" fontId="29" fillId="0" borderId="28" xfId="28" applyNumberFormat="1" applyFont="1" applyFill="1" applyBorder="1"/>
    <xf numFmtId="2" fontId="29" fillId="0" borderId="58" xfId="42" applyNumberFormat="1" applyFont="1" applyBorder="1" applyAlignment="1">
      <alignment horizontal="center"/>
    </xf>
    <xf numFmtId="5" fontId="30" fillId="27" borderId="41" xfId="0" applyNumberFormat="1" applyFont="1" applyFill="1" applyBorder="1"/>
    <xf numFmtId="5" fontId="30" fillId="27" borderId="42" xfId="0" applyNumberFormat="1" applyFont="1" applyFill="1" applyBorder="1"/>
    <xf numFmtId="5" fontId="30" fillId="27" borderId="56" xfId="0" applyNumberFormat="1" applyFont="1" applyFill="1" applyBorder="1"/>
    <xf numFmtId="5" fontId="30" fillId="28" borderId="41" xfId="0" applyNumberFormat="1" applyFont="1" applyFill="1" applyBorder="1"/>
    <xf numFmtId="5" fontId="30" fillId="28" borderId="43" xfId="0" applyNumberFormat="1" applyFont="1" applyFill="1" applyBorder="1"/>
    <xf numFmtId="5" fontId="30" fillId="27" borderId="44" xfId="0" applyNumberFormat="1" applyFont="1" applyFill="1" applyBorder="1"/>
    <xf numFmtId="0" fontId="27" fillId="0" borderId="0" xfId="0" applyFont="1" applyAlignment="1">
      <alignment horizontal="center"/>
    </xf>
    <xf numFmtId="0" fontId="29" fillId="0" borderId="49" xfId="0" applyFont="1" applyBorder="1" applyAlignment="1">
      <alignment horizontal="center"/>
    </xf>
    <xf numFmtId="0" fontId="29" fillId="0" borderId="50" xfId="0" applyFont="1" applyBorder="1" applyAlignment="1">
      <alignment horizontal="center"/>
    </xf>
    <xf numFmtId="43" fontId="29" fillId="0" borderId="49" xfId="28" applyFont="1" applyBorder="1" applyAlignment="1">
      <alignment horizontal="center"/>
    </xf>
    <xf numFmtId="43" fontId="29" fillId="0" borderId="48" xfId="28" applyFont="1" applyBorder="1" applyAlignment="1">
      <alignment horizontal="center"/>
    </xf>
    <xf numFmtId="43" fontId="29" fillId="0" borderId="50" xfId="28" applyFont="1" applyBorder="1" applyAlignment="1">
      <alignment horizontal="center"/>
    </xf>
    <xf numFmtId="0" fontId="29" fillId="0" borderId="46" xfId="0" applyFont="1" applyBorder="1" applyAlignment="1">
      <alignment horizontal="center"/>
    </xf>
    <xf numFmtId="0" fontId="29" fillId="0" borderId="47" xfId="0" applyFont="1" applyBorder="1" applyAlignment="1">
      <alignment horizontal="center"/>
    </xf>
    <xf numFmtId="0" fontId="29" fillId="0" borderId="55" xfId="0" applyFont="1" applyBorder="1" applyAlignment="1">
      <alignment horizontal="center"/>
    </xf>
    <xf numFmtId="0" fontId="29" fillId="0" borderId="48" xfId="0" applyFont="1" applyBorder="1" applyAlignment="1">
      <alignment horizontal="center"/>
    </xf>
    <xf numFmtId="0" fontId="27" fillId="0" borderId="0" xfId="0" applyFont="1" applyFill="1" applyAlignment="1">
      <alignment horizontal="center"/>
    </xf>
    <xf numFmtId="0" fontId="29" fillId="0" borderId="49" xfId="0" applyFont="1" applyFill="1" applyBorder="1" applyAlignment="1">
      <alignment horizontal="center"/>
    </xf>
    <xf numFmtId="0" fontId="29" fillId="0" borderId="50" xfId="0" applyFont="1" applyFill="1" applyBorder="1" applyAlignment="1">
      <alignment horizontal="center"/>
    </xf>
    <xf numFmtId="43" fontId="29" fillId="0" borderId="49" xfId="28" applyFont="1" applyFill="1" applyBorder="1" applyAlignment="1">
      <alignment horizontal="center"/>
    </xf>
    <xf numFmtId="43" fontId="29" fillId="0" borderId="48" xfId="28" applyFont="1" applyFill="1" applyBorder="1" applyAlignment="1">
      <alignment horizontal="center"/>
    </xf>
    <xf numFmtId="43" fontId="29" fillId="0" borderId="51" xfId="28" applyFont="1" applyFill="1" applyBorder="1" applyAlignment="1">
      <alignment horizontal="center"/>
    </xf>
    <xf numFmtId="0" fontId="29" fillId="0" borderId="46" xfId="0" applyFont="1" applyFill="1" applyBorder="1" applyAlignment="1">
      <alignment horizontal="center"/>
    </xf>
    <xf numFmtId="0" fontId="29" fillId="0" borderId="47" xfId="0" applyFont="1" applyFill="1" applyBorder="1" applyAlignment="1">
      <alignment horizontal="center"/>
    </xf>
    <xf numFmtId="0" fontId="29" fillId="0" borderId="55" xfId="0" applyFont="1" applyFill="1" applyBorder="1" applyAlignment="1">
      <alignment horizontal="center"/>
    </xf>
  </cellXfs>
  <cellStyles count="4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xr:uid="{00000000-0005-0000-0000-00001C000000}"/>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xr:uid="{00000000-0005-0000-0000-000027000000}"/>
    <cellStyle name="Note" xfId="40" builtinId="10" customBuiltin="1"/>
    <cellStyle name="Output" xfId="41" builtinId="21" customBuiltin="1"/>
    <cellStyle name="Percent" xfId="42" builtinId="5"/>
    <cellStyle name="Title" xfId="43" builtinId="15" customBuiltin="1"/>
    <cellStyle name="Total" xfId="44" builtinId="25" customBuiltin="1"/>
    <cellStyle name="Warning Text" xfId="4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30"/>
  <sheetViews>
    <sheetView tabSelected="1" view="pageBreakPreview" zoomScale="70" zoomScaleNormal="75" zoomScaleSheetLayoutView="70" workbookViewId="0">
      <pane xSplit="1" topLeftCell="B1" activePane="topRight" state="frozen"/>
      <selection pane="topRight" sqref="A1:S1"/>
    </sheetView>
  </sheetViews>
  <sheetFormatPr defaultRowHeight="18" x14ac:dyDescent="0.35"/>
  <cols>
    <col min="1" max="1" width="35.42578125" style="32" customWidth="1"/>
    <col min="2" max="2" width="17.85546875" style="32" bestFit="1" customWidth="1"/>
    <col min="3" max="3" width="15.140625" style="32" bestFit="1" customWidth="1"/>
    <col min="4" max="4" width="17.85546875" style="32" bestFit="1" customWidth="1"/>
    <col min="5" max="5" width="15.28515625" style="32" bestFit="1" customWidth="1"/>
    <col min="6" max="6" width="17.42578125" style="32" bestFit="1" customWidth="1"/>
    <col min="7" max="7" width="14.42578125" style="32" bestFit="1" customWidth="1"/>
    <col min="8" max="8" width="17.140625" style="3" hidden="1" customWidth="1"/>
    <col min="9" max="13" width="14.5703125" style="32" customWidth="1"/>
    <col min="14" max="14" width="17.140625" style="32" customWidth="1"/>
    <col min="15" max="15" width="17.140625" style="32" bestFit="1" customWidth="1"/>
    <col min="16" max="16" width="16.140625" style="32" customWidth="1"/>
    <col min="17" max="17" width="17.85546875" style="32" bestFit="1" customWidth="1"/>
    <col min="18" max="18" width="16.28515625" style="32" bestFit="1" customWidth="1"/>
    <col min="19" max="19" width="13" style="32" customWidth="1"/>
    <col min="20" max="20" width="5.5703125" style="3" customWidth="1"/>
    <col min="21" max="16384" width="9.140625" style="3"/>
  </cols>
  <sheetData>
    <row r="1" spans="1:20" s="32" customFormat="1" ht="22.5" x14ac:dyDescent="0.4">
      <c r="A1" s="265" t="s">
        <v>114</v>
      </c>
      <c r="B1" s="265"/>
      <c r="C1" s="265"/>
      <c r="D1" s="265"/>
      <c r="E1" s="265"/>
      <c r="F1" s="265"/>
      <c r="G1" s="265"/>
      <c r="H1" s="265"/>
      <c r="I1" s="265"/>
      <c r="J1" s="265"/>
      <c r="K1" s="265"/>
      <c r="L1" s="265"/>
      <c r="M1" s="265"/>
      <c r="N1" s="265"/>
      <c r="O1" s="265"/>
      <c r="P1" s="265"/>
      <c r="Q1" s="265"/>
      <c r="R1" s="265"/>
      <c r="S1" s="265"/>
    </row>
    <row r="2" spans="1:20" s="32" customFormat="1" ht="18.75" thickBot="1" x14ac:dyDescent="0.4">
      <c r="N2" s="34"/>
      <c r="O2" s="34"/>
      <c r="P2" s="34"/>
      <c r="Q2" s="34"/>
      <c r="R2" s="34"/>
      <c r="S2" s="34"/>
    </row>
    <row r="3" spans="1:20" s="32" customFormat="1" x14ac:dyDescent="0.35">
      <c r="A3" s="35"/>
      <c r="B3" s="36" t="s">
        <v>99</v>
      </c>
      <c r="C3" s="266" t="s">
        <v>107</v>
      </c>
      <c r="D3" s="267"/>
      <c r="E3" s="271" t="s">
        <v>108</v>
      </c>
      <c r="F3" s="272"/>
      <c r="G3" s="272"/>
      <c r="H3" s="272"/>
      <c r="I3" s="273"/>
      <c r="J3" s="266" t="s">
        <v>116</v>
      </c>
      <c r="K3" s="274"/>
      <c r="L3" s="274"/>
      <c r="M3" s="274"/>
      <c r="N3" s="258" t="s">
        <v>107</v>
      </c>
      <c r="O3" s="268" t="s">
        <v>107</v>
      </c>
      <c r="P3" s="269"/>
      <c r="Q3" s="270"/>
      <c r="R3" s="37" t="s">
        <v>49</v>
      </c>
      <c r="S3" s="36" t="s">
        <v>16</v>
      </c>
    </row>
    <row r="4" spans="1:20" s="32" customFormat="1" x14ac:dyDescent="0.35">
      <c r="A4" s="38"/>
      <c r="B4" s="49" t="s">
        <v>16</v>
      </c>
      <c r="C4" s="59" t="s">
        <v>74</v>
      </c>
      <c r="D4" s="60" t="s">
        <v>62</v>
      </c>
      <c r="E4" s="159" t="s">
        <v>58</v>
      </c>
      <c r="F4" s="160" t="s">
        <v>46</v>
      </c>
      <c r="G4" s="160" t="s">
        <v>44</v>
      </c>
      <c r="H4" s="160" t="s">
        <v>67</v>
      </c>
      <c r="I4" s="161" t="s">
        <v>61</v>
      </c>
      <c r="J4" s="242" t="s">
        <v>117</v>
      </c>
      <c r="K4" s="252" t="s">
        <v>118</v>
      </c>
      <c r="L4" s="253" t="s">
        <v>115</v>
      </c>
      <c r="M4" s="250" t="s">
        <v>121</v>
      </c>
      <c r="N4" s="162" t="s">
        <v>15</v>
      </c>
      <c r="O4" s="163" t="s">
        <v>16</v>
      </c>
      <c r="P4" s="164" t="s">
        <v>15</v>
      </c>
      <c r="Q4" s="165" t="s">
        <v>72</v>
      </c>
      <c r="R4" s="163" t="s">
        <v>16</v>
      </c>
      <c r="S4" s="166" t="s">
        <v>63</v>
      </c>
    </row>
    <row r="5" spans="1:20" s="32" customFormat="1" x14ac:dyDescent="0.35">
      <c r="A5" s="39" t="s">
        <v>0</v>
      </c>
      <c r="B5" s="50" t="s">
        <v>48</v>
      </c>
      <c r="C5" s="61" t="s">
        <v>59</v>
      </c>
      <c r="D5" s="50" t="s">
        <v>45</v>
      </c>
      <c r="E5" s="167" t="s">
        <v>59</v>
      </c>
      <c r="F5" s="168" t="s">
        <v>47</v>
      </c>
      <c r="G5" s="168" t="s">
        <v>47</v>
      </c>
      <c r="H5" s="169" t="s">
        <v>66</v>
      </c>
      <c r="I5" s="50" t="s">
        <v>16</v>
      </c>
      <c r="J5" s="243" t="s">
        <v>64</v>
      </c>
      <c r="K5" s="169" t="s">
        <v>119</v>
      </c>
      <c r="L5" s="243" t="s">
        <v>120</v>
      </c>
      <c r="M5" s="50" t="s">
        <v>120</v>
      </c>
      <c r="N5" s="170" t="s">
        <v>69</v>
      </c>
      <c r="O5" s="171" t="s">
        <v>48</v>
      </c>
      <c r="P5" s="169" t="s">
        <v>48</v>
      </c>
      <c r="Q5" s="50" t="s">
        <v>48</v>
      </c>
      <c r="R5" s="171" t="s">
        <v>48</v>
      </c>
      <c r="S5" s="172" t="s">
        <v>64</v>
      </c>
    </row>
    <row r="6" spans="1:20" x14ac:dyDescent="0.35">
      <c r="A6" s="40" t="s">
        <v>1</v>
      </c>
      <c r="B6" s="51"/>
      <c r="C6" s="62"/>
      <c r="D6" s="51"/>
      <c r="E6" s="173"/>
      <c r="F6" s="179"/>
      <c r="G6" s="179"/>
      <c r="H6" s="5"/>
      <c r="I6" s="51"/>
      <c r="J6" s="62"/>
      <c r="K6" s="251"/>
      <c r="L6" s="254"/>
      <c r="M6" s="51"/>
      <c r="N6" s="204"/>
      <c r="O6" s="173"/>
      <c r="P6" s="179"/>
      <c r="Q6" s="229"/>
      <c r="R6" s="230"/>
      <c r="S6" s="51"/>
    </row>
    <row r="7" spans="1:20" x14ac:dyDescent="0.35">
      <c r="A7" s="38" t="s">
        <v>2</v>
      </c>
      <c r="B7" s="52">
        <v>50503100</v>
      </c>
      <c r="C7" s="48">
        <v>263700</v>
      </c>
      <c r="D7" s="52">
        <f>SUM(B7:C7)</f>
        <v>50766800</v>
      </c>
      <c r="E7" s="174">
        <v>0</v>
      </c>
      <c r="F7" s="180">
        <v>0</v>
      </c>
      <c r="G7" s="180">
        <v>130300</v>
      </c>
      <c r="H7" s="5">
        <v>0</v>
      </c>
      <c r="I7" s="52">
        <v>0</v>
      </c>
      <c r="J7" s="48">
        <v>128100</v>
      </c>
      <c r="K7" s="180">
        <f>33700+40000</f>
        <v>73700</v>
      </c>
      <c r="L7" s="255">
        <v>-7700</v>
      </c>
      <c r="M7" s="52">
        <v>6500</v>
      </c>
      <c r="N7" s="205">
        <v>0</v>
      </c>
      <c r="O7" s="174">
        <f>SUM(B7:C7,E7:M7)</f>
        <v>51097700</v>
      </c>
      <c r="P7" s="180">
        <f>SUM(N7:N7)</f>
        <v>0</v>
      </c>
      <c r="Q7" s="82">
        <f t="shared" ref="Q7:Q12" si="0">O7+P7</f>
        <v>51097700</v>
      </c>
      <c r="R7" s="174">
        <f t="shared" ref="R7:R12" si="1">O7-B7</f>
        <v>594600</v>
      </c>
      <c r="S7" s="49">
        <f t="shared" ref="S7:S13" si="2">O7/B7-1</f>
        <v>1.1773534693909848E-2</v>
      </c>
      <c r="T7" s="6"/>
    </row>
    <row r="8" spans="1:20" x14ac:dyDescent="0.35">
      <c r="A8" s="38" t="s">
        <v>3</v>
      </c>
      <c r="B8" s="53">
        <v>70579000</v>
      </c>
      <c r="C8" s="63">
        <v>586800</v>
      </c>
      <c r="D8" s="53">
        <f t="shared" ref="D8:D12" si="3">SUM(B8:C8)</f>
        <v>71165800</v>
      </c>
      <c r="E8" s="175">
        <v>0</v>
      </c>
      <c r="F8" s="181">
        <v>0</v>
      </c>
      <c r="G8" s="181">
        <v>242200</v>
      </c>
      <c r="H8" s="8">
        <v>0</v>
      </c>
      <c r="I8" s="53">
        <v>0</v>
      </c>
      <c r="J8" s="63">
        <v>189400</v>
      </c>
      <c r="K8" s="181">
        <f>36500+37600</f>
        <v>74100</v>
      </c>
      <c r="L8" s="256">
        <v>-24900</v>
      </c>
      <c r="M8" s="53">
        <v>9700</v>
      </c>
      <c r="N8" s="206">
        <v>0</v>
      </c>
      <c r="O8" s="175">
        <f t="shared" ref="O8:O12" si="4">SUM(B8:C8,E8:M8)</f>
        <v>71656300</v>
      </c>
      <c r="P8" s="181">
        <f t="shared" ref="P8:P12" si="5">SUM(N8:N8)</f>
        <v>0</v>
      </c>
      <c r="Q8" s="110">
        <f t="shared" si="0"/>
        <v>71656300</v>
      </c>
      <c r="R8" s="175">
        <f t="shared" si="1"/>
        <v>1077300</v>
      </c>
      <c r="S8" s="49">
        <f t="shared" si="2"/>
        <v>1.5263747006900141E-2</v>
      </c>
    </row>
    <row r="9" spans="1:20" x14ac:dyDescent="0.35">
      <c r="A9" s="38" t="s">
        <v>4</v>
      </c>
      <c r="B9" s="53">
        <v>107399400</v>
      </c>
      <c r="C9" s="63">
        <v>-1618200</v>
      </c>
      <c r="D9" s="53">
        <f t="shared" si="3"/>
        <v>105781200</v>
      </c>
      <c r="E9" s="176">
        <v>0</v>
      </c>
      <c r="F9" s="182">
        <v>0</v>
      </c>
      <c r="G9" s="182">
        <v>295800</v>
      </c>
      <c r="H9" s="2">
        <v>0</v>
      </c>
      <c r="I9" s="110">
        <v>0</v>
      </c>
      <c r="J9" s="244">
        <v>271700</v>
      </c>
      <c r="K9" s="182">
        <f>32200+114200</f>
        <v>146400</v>
      </c>
      <c r="L9" s="108">
        <v>-26100</v>
      </c>
      <c r="M9" s="110">
        <v>14000</v>
      </c>
      <c r="N9" s="202">
        <v>1200000</v>
      </c>
      <c r="O9" s="176">
        <f t="shared" si="4"/>
        <v>106483000</v>
      </c>
      <c r="P9" s="181">
        <f t="shared" si="5"/>
        <v>1200000</v>
      </c>
      <c r="Q9" s="110">
        <f t="shared" si="0"/>
        <v>107683000</v>
      </c>
      <c r="R9" s="175">
        <f t="shared" si="1"/>
        <v>-916400</v>
      </c>
      <c r="S9" s="49">
        <f t="shared" si="2"/>
        <v>-8.5326361227343606E-3</v>
      </c>
    </row>
    <row r="10" spans="1:20" x14ac:dyDescent="0.35">
      <c r="A10" s="38" t="s">
        <v>5</v>
      </c>
      <c r="B10" s="53">
        <v>41795200</v>
      </c>
      <c r="C10" s="63">
        <v>-706800</v>
      </c>
      <c r="D10" s="53">
        <f t="shared" si="3"/>
        <v>41088400</v>
      </c>
      <c r="E10" s="176">
        <v>0</v>
      </c>
      <c r="F10" s="182">
        <v>0</v>
      </c>
      <c r="G10" s="182">
        <v>123200</v>
      </c>
      <c r="H10" s="2">
        <v>0</v>
      </c>
      <c r="I10" s="110">
        <v>0</v>
      </c>
      <c r="J10" s="244">
        <v>113400</v>
      </c>
      <c r="K10" s="182">
        <f>11800+41000</f>
        <v>52800</v>
      </c>
      <c r="L10" s="108">
        <v>-17400</v>
      </c>
      <c r="M10" s="110">
        <v>4800</v>
      </c>
      <c r="N10" s="202">
        <v>0</v>
      </c>
      <c r="O10" s="176">
        <f t="shared" si="4"/>
        <v>41365200</v>
      </c>
      <c r="P10" s="181">
        <f t="shared" si="5"/>
        <v>0</v>
      </c>
      <c r="Q10" s="110">
        <f t="shared" si="0"/>
        <v>41365200</v>
      </c>
      <c r="R10" s="175">
        <f t="shared" si="1"/>
        <v>-430000</v>
      </c>
      <c r="S10" s="49">
        <f t="shared" si="2"/>
        <v>-1.0288262767016332E-2</v>
      </c>
    </row>
    <row r="11" spans="1:20" x14ac:dyDescent="0.35">
      <c r="A11" s="38" t="s">
        <v>6</v>
      </c>
      <c r="B11" s="53">
        <v>59597500</v>
      </c>
      <c r="C11" s="63">
        <v>404200</v>
      </c>
      <c r="D11" s="53">
        <f t="shared" si="3"/>
        <v>60001700</v>
      </c>
      <c r="E11" s="176">
        <v>0</v>
      </c>
      <c r="F11" s="182">
        <v>0</v>
      </c>
      <c r="G11" s="182">
        <v>150600</v>
      </c>
      <c r="H11" s="2">
        <v>0</v>
      </c>
      <c r="I11" s="110">
        <v>0</v>
      </c>
      <c r="J11" s="244">
        <v>144400</v>
      </c>
      <c r="K11" s="182">
        <f>14300+125400</f>
        <v>139700</v>
      </c>
      <c r="L11" s="108">
        <v>-16700</v>
      </c>
      <c r="M11" s="110">
        <v>8900</v>
      </c>
      <c r="N11" s="202">
        <v>500000</v>
      </c>
      <c r="O11" s="176">
        <f t="shared" si="4"/>
        <v>60428600</v>
      </c>
      <c r="P11" s="181">
        <f t="shared" si="5"/>
        <v>500000</v>
      </c>
      <c r="Q11" s="110">
        <f t="shared" si="0"/>
        <v>60928600</v>
      </c>
      <c r="R11" s="175">
        <f t="shared" si="1"/>
        <v>831100</v>
      </c>
      <c r="S11" s="49">
        <f t="shared" si="2"/>
        <v>1.3945215822811274E-2</v>
      </c>
    </row>
    <row r="12" spans="1:20" x14ac:dyDescent="0.35">
      <c r="A12" s="41" t="s">
        <v>56</v>
      </c>
      <c r="B12" s="54">
        <v>123370700</v>
      </c>
      <c r="C12" s="64">
        <v>-243600</v>
      </c>
      <c r="D12" s="54">
        <f t="shared" si="3"/>
        <v>123127100</v>
      </c>
      <c r="E12" s="177">
        <v>0</v>
      </c>
      <c r="F12" s="183">
        <v>0</v>
      </c>
      <c r="G12" s="183">
        <v>305900</v>
      </c>
      <c r="H12" s="9">
        <v>0</v>
      </c>
      <c r="I12" s="200">
        <v>0</v>
      </c>
      <c r="J12" s="245">
        <v>233000</v>
      </c>
      <c r="K12" s="183">
        <f>63500+20400</f>
        <v>83900</v>
      </c>
      <c r="L12" s="257">
        <v>-32100</v>
      </c>
      <c r="M12" s="200">
        <v>16300</v>
      </c>
      <c r="N12" s="207">
        <v>0</v>
      </c>
      <c r="O12" s="177">
        <f t="shared" si="4"/>
        <v>123734100</v>
      </c>
      <c r="P12" s="231">
        <f t="shared" si="5"/>
        <v>0</v>
      </c>
      <c r="Q12" s="200">
        <f t="shared" si="0"/>
        <v>123734100</v>
      </c>
      <c r="R12" s="232">
        <f t="shared" si="1"/>
        <v>363400</v>
      </c>
      <c r="S12" s="50">
        <f t="shared" si="2"/>
        <v>2.9455940510996204E-3</v>
      </c>
    </row>
    <row r="13" spans="1:20" x14ac:dyDescent="0.35">
      <c r="A13" s="42" t="s">
        <v>7</v>
      </c>
      <c r="B13" s="55">
        <f t="shared" ref="B13:R13" si="6">SUM(B7:B12)</f>
        <v>453244900</v>
      </c>
      <c r="C13" s="65">
        <f>SUM(C7:C12)</f>
        <v>-1313900</v>
      </c>
      <c r="D13" s="55">
        <f>SUM(D7:D12)</f>
        <v>451931000</v>
      </c>
      <c r="E13" s="106">
        <f t="shared" si="6"/>
        <v>0</v>
      </c>
      <c r="F13" s="184">
        <f t="shared" si="6"/>
        <v>0</v>
      </c>
      <c r="G13" s="184">
        <f t="shared" si="6"/>
        <v>1248000</v>
      </c>
      <c r="H13" s="10">
        <f>SUM(H7:H12)</f>
        <v>0</v>
      </c>
      <c r="I13" s="107">
        <f t="shared" si="6"/>
        <v>0</v>
      </c>
      <c r="J13" s="246">
        <f t="shared" si="6"/>
        <v>1080000</v>
      </c>
      <c r="K13" s="184">
        <f t="shared" si="6"/>
        <v>570600</v>
      </c>
      <c r="L13" s="105">
        <f t="shared" si="6"/>
        <v>-124900</v>
      </c>
      <c r="M13" s="107">
        <f t="shared" si="6"/>
        <v>60200</v>
      </c>
      <c r="N13" s="203">
        <f t="shared" si="6"/>
        <v>1700000</v>
      </c>
      <c r="O13" s="106">
        <f>SUM(O7:O12)</f>
        <v>454764900</v>
      </c>
      <c r="P13" s="233">
        <f t="shared" si="6"/>
        <v>1700000</v>
      </c>
      <c r="Q13" s="107">
        <f t="shared" si="6"/>
        <v>456464900</v>
      </c>
      <c r="R13" s="234">
        <f t="shared" si="6"/>
        <v>1520000</v>
      </c>
      <c r="S13" s="235">
        <f t="shared" si="2"/>
        <v>3.3535953741563596E-3</v>
      </c>
    </row>
    <row r="14" spans="1:20" x14ac:dyDescent="0.35">
      <c r="A14" s="42"/>
      <c r="B14" s="55"/>
      <c r="C14" s="65"/>
      <c r="D14" s="55"/>
      <c r="E14" s="106"/>
      <c r="F14" s="184"/>
      <c r="G14" s="184"/>
      <c r="H14" s="10"/>
      <c r="I14" s="107"/>
      <c r="J14" s="246"/>
      <c r="K14" s="184"/>
      <c r="L14" s="105"/>
      <c r="M14" s="107"/>
      <c r="N14" s="203"/>
      <c r="O14" s="106"/>
      <c r="P14" s="233"/>
      <c r="Q14" s="107"/>
      <c r="R14" s="234"/>
      <c r="S14" s="235"/>
    </row>
    <row r="15" spans="1:20" x14ac:dyDescent="0.35">
      <c r="A15" s="40" t="s">
        <v>9</v>
      </c>
      <c r="B15" s="56"/>
      <c r="C15" s="66"/>
      <c r="D15" s="56"/>
      <c r="E15" s="86"/>
      <c r="F15" s="185"/>
      <c r="G15" s="185"/>
      <c r="H15" s="11"/>
      <c r="I15" s="92"/>
      <c r="J15" s="247"/>
      <c r="K15" s="185"/>
      <c r="L15" s="91"/>
      <c r="M15" s="92"/>
      <c r="N15" s="208"/>
      <c r="O15" s="86"/>
      <c r="P15" s="236"/>
      <c r="Q15" s="92"/>
      <c r="R15" s="237"/>
      <c r="S15" s="49"/>
    </row>
    <row r="16" spans="1:20" x14ac:dyDescent="0.35">
      <c r="A16" s="38" t="s">
        <v>10</v>
      </c>
      <c r="B16" s="52">
        <v>58905900</v>
      </c>
      <c r="C16" s="48">
        <v>183800</v>
      </c>
      <c r="D16" s="52">
        <f t="shared" ref="D16:D18" si="7">SUM(B16:C16)</f>
        <v>59089700</v>
      </c>
      <c r="E16" s="178">
        <v>0</v>
      </c>
      <c r="F16" s="186">
        <v>0</v>
      </c>
      <c r="G16" s="186">
        <v>175300</v>
      </c>
      <c r="H16" s="7">
        <v>0</v>
      </c>
      <c r="I16" s="82">
        <v>0</v>
      </c>
      <c r="J16" s="248">
        <v>119500</v>
      </c>
      <c r="K16" s="186">
        <f>45500+51500</f>
        <v>97000</v>
      </c>
      <c r="L16" s="79">
        <v>21900</v>
      </c>
      <c r="M16" s="82">
        <v>6800</v>
      </c>
      <c r="N16" s="209">
        <v>0</v>
      </c>
      <c r="O16" s="178">
        <f t="shared" ref="O16:O18" si="8">SUM(B16:C16,E16:M16)</f>
        <v>59510200</v>
      </c>
      <c r="P16" s="180">
        <f t="shared" ref="P16:P18" si="9">SUM(N16:N16)</f>
        <v>0</v>
      </c>
      <c r="Q16" s="82">
        <f>O16+P16</f>
        <v>59510200</v>
      </c>
      <c r="R16" s="174">
        <f>O16-B16</f>
        <v>604300</v>
      </c>
      <c r="S16" s="49">
        <f>O16/B16-1</f>
        <v>1.0258734693808336E-2</v>
      </c>
    </row>
    <row r="17" spans="1:19" x14ac:dyDescent="0.35">
      <c r="A17" s="38" t="s">
        <v>11</v>
      </c>
      <c r="B17" s="53">
        <v>247059300</v>
      </c>
      <c r="C17" s="63">
        <v>-592400</v>
      </c>
      <c r="D17" s="53">
        <f t="shared" si="7"/>
        <v>246466900</v>
      </c>
      <c r="E17" s="176">
        <v>0</v>
      </c>
      <c r="F17" s="182">
        <v>0</v>
      </c>
      <c r="G17" s="182">
        <v>544800</v>
      </c>
      <c r="H17" s="2">
        <v>0</v>
      </c>
      <c r="I17" s="110">
        <v>0</v>
      </c>
      <c r="J17" s="244">
        <v>567000</v>
      </c>
      <c r="K17" s="182">
        <f>3100+-126100</f>
        <v>-123000</v>
      </c>
      <c r="L17" s="108">
        <v>82000</v>
      </c>
      <c r="M17" s="110">
        <v>28600</v>
      </c>
      <c r="N17" s="202">
        <v>0</v>
      </c>
      <c r="O17" s="176">
        <f t="shared" si="8"/>
        <v>247566300</v>
      </c>
      <c r="P17" s="181">
        <f t="shared" si="9"/>
        <v>0</v>
      </c>
      <c r="Q17" s="110">
        <f>O17+P17</f>
        <v>247566300</v>
      </c>
      <c r="R17" s="175">
        <f>O17-B17</f>
        <v>507000</v>
      </c>
      <c r="S17" s="49">
        <f>O17/B17-1</f>
        <v>2.0521388994463319E-3</v>
      </c>
    </row>
    <row r="18" spans="1:19" x14ac:dyDescent="0.35">
      <c r="A18" s="41" t="s">
        <v>12</v>
      </c>
      <c r="B18" s="54">
        <v>35748200</v>
      </c>
      <c r="C18" s="64">
        <v>-1191500</v>
      </c>
      <c r="D18" s="54">
        <f t="shared" si="7"/>
        <v>34556700</v>
      </c>
      <c r="E18" s="177">
        <v>0</v>
      </c>
      <c r="F18" s="183">
        <v>0</v>
      </c>
      <c r="G18" s="183">
        <v>102600</v>
      </c>
      <c r="H18" s="9">
        <v>0</v>
      </c>
      <c r="I18" s="200">
        <v>0</v>
      </c>
      <c r="J18" s="245">
        <v>74400</v>
      </c>
      <c r="K18" s="183">
        <f>-17300+-60600</f>
        <v>-77900</v>
      </c>
      <c r="L18" s="257">
        <v>6200</v>
      </c>
      <c r="M18" s="200">
        <v>3400</v>
      </c>
      <c r="N18" s="207">
        <v>0</v>
      </c>
      <c r="O18" s="177">
        <f t="shared" si="8"/>
        <v>34665400</v>
      </c>
      <c r="P18" s="231">
        <f t="shared" si="9"/>
        <v>0</v>
      </c>
      <c r="Q18" s="200">
        <f>O18+P18</f>
        <v>34665400</v>
      </c>
      <c r="R18" s="232">
        <f>O18-B18</f>
        <v>-1082800</v>
      </c>
      <c r="S18" s="50">
        <f>O18/B18-1</f>
        <v>-3.028963696074205E-2</v>
      </c>
    </row>
    <row r="19" spans="1:19" x14ac:dyDescent="0.35">
      <c r="A19" s="42" t="s">
        <v>7</v>
      </c>
      <c r="B19" s="55">
        <f t="shared" ref="B19:R19" si="10">SUM(B16:B18)</f>
        <v>341713400</v>
      </c>
      <c r="C19" s="65">
        <f>SUM(C16:C18)</f>
        <v>-1600100</v>
      </c>
      <c r="D19" s="55">
        <f>SUM(D16:D18)</f>
        <v>340113300</v>
      </c>
      <c r="E19" s="106">
        <f t="shared" si="10"/>
        <v>0</v>
      </c>
      <c r="F19" s="184">
        <f t="shared" si="10"/>
        <v>0</v>
      </c>
      <c r="G19" s="184">
        <f t="shared" si="10"/>
        <v>822700</v>
      </c>
      <c r="H19" s="10">
        <f>SUM(H16:H18)</f>
        <v>0</v>
      </c>
      <c r="I19" s="107">
        <f t="shared" si="10"/>
        <v>0</v>
      </c>
      <c r="J19" s="246">
        <f t="shared" si="10"/>
        <v>760900</v>
      </c>
      <c r="K19" s="184">
        <f t="shared" si="10"/>
        <v>-103900</v>
      </c>
      <c r="L19" s="105">
        <f t="shared" si="10"/>
        <v>110100</v>
      </c>
      <c r="M19" s="107">
        <f t="shared" si="10"/>
        <v>38800</v>
      </c>
      <c r="N19" s="203">
        <f t="shared" si="10"/>
        <v>0</v>
      </c>
      <c r="O19" s="106">
        <f>SUM(O16:O18)</f>
        <v>341741900</v>
      </c>
      <c r="P19" s="233">
        <f t="shared" si="10"/>
        <v>0</v>
      </c>
      <c r="Q19" s="107">
        <f t="shared" si="10"/>
        <v>341741900</v>
      </c>
      <c r="R19" s="234">
        <f t="shared" si="10"/>
        <v>28500</v>
      </c>
      <c r="S19" s="235">
        <f>O19/B19-1</f>
        <v>8.340322621247509E-5</v>
      </c>
    </row>
    <row r="20" spans="1:19" x14ac:dyDescent="0.35">
      <c r="A20" s="43"/>
      <c r="B20" s="56"/>
      <c r="C20" s="66"/>
      <c r="D20" s="56"/>
      <c r="E20" s="86"/>
      <c r="F20" s="185"/>
      <c r="G20" s="185"/>
      <c r="H20" s="11"/>
      <c r="I20" s="92"/>
      <c r="J20" s="247"/>
      <c r="K20" s="185"/>
      <c r="L20" s="91"/>
      <c r="M20" s="92"/>
      <c r="N20" s="208"/>
      <c r="O20" s="86"/>
      <c r="P20" s="236"/>
      <c r="Q20" s="92"/>
      <c r="R20" s="237"/>
      <c r="S20" s="49"/>
    </row>
    <row r="21" spans="1:19" x14ac:dyDescent="0.35">
      <c r="A21" s="40" t="s">
        <v>57</v>
      </c>
      <c r="B21" s="55">
        <v>291613800</v>
      </c>
      <c r="C21" s="65">
        <v>2932700</v>
      </c>
      <c r="D21" s="55">
        <f>SUM(B21:C21)</f>
        <v>294546500</v>
      </c>
      <c r="E21" s="106">
        <v>0</v>
      </c>
      <c r="F21" s="184">
        <v>0</v>
      </c>
      <c r="G21" s="184">
        <v>633900</v>
      </c>
      <c r="H21" s="10">
        <v>0</v>
      </c>
      <c r="I21" s="107">
        <v>0</v>
      </c>
      <c r="J21" s="246">
        <v>686100</v>
      </c>
      <c r="K21" s="184">
        <f>26300+249200</f>
        <v>275500</v>
      </c>
      <c r="L21" s="105">
        <v>-85900</v>
      </c>
      <c r="M21" s="107">
        <v>36600</v>
      </c>
      <c r="N21" s="203">
        <v>0</v>
      </c>
      <c r="O21" s="106">
        <f t="shared" ref="O21" si="11">SUM(B21:C21,E21:M21)</f>
        <v>296092700</v>
      </c>
      <c r="P21" s="233">
        <f>SUM(N21:N21)</f>
        <v>0</v>
      </c>
      <c r="Q21" s="107">
        <f>O21+P21</f>
        <v>296092700</v>
      </c>
      <c r="R21" s="234">
        <f>O21-B21</f>
        <v>4478900</v>
      </c>
      <c r="S21" s="235">
        <f>O21/B21-1</f>
        <v>1.5359012502151881E-2</v>
      </c>
    </row>
    <row r="22" spans="1:19" x14ac:dyDescent="0.35">
      <c r="A22" s="42"/>
      <c r="B22" s="55"/>
      <c r="C22" s="65"/>
      <c r="D22" s="55"/>
      <c r="E22" s="106"/>
      <c r="F22" s="184"/>
      <c r="G22" s="184"/>
      <c r="H22" s="10"/>
      <c r="I22" s="107"/>
      <c r="J22" s="246"/>
      <c r="K22" s="184"/>
      <c r="L22" s="105"/>
      <c r="M22" s="107"/>
      <c r="N22" s="203"/>
      <c r="O22" s="106"/>
      <c r="P22" s="233"/>
      <c r="Q22" s="107"/>
      <c r="R22" s="234"/>
      <c r="S22" s="235"/>
    </row>
    <row r="23" spans="1:19" x14ac:dyDescent="0.35">
      <c r="A23" s="44" t="s">
        <v>13</v>
      </c>
      <c r="B23" s="55">
        <f t="shared" ref="B23:R23" si="12">B19+B21+B13</f>
        <v>1086572100</v>
      </c>
      <c r="C23" s="65">
        <f>C19+C21+C13</f>
        <v>18700</v>
      </c>
      <c r="D23" s="55">
        <f>D19+D21+D13</f>
        <v>1086590800</v>
      </c>
      <c r="E23" s="106">
        <f t="shared" si="12"/>
        <v>0</v>
      </c>
      <c r="F23" s="184">
        <f t="shared" si="12"/>
        <v>0</v>
      </c>
      <c r="G23" s="184">
        <f t="shared" si="12"/>
        <v>2704600</v>
      </c>
      <c r="H23" s="10">
        <f>H19+H21+H13</f>
        <v>0</v>
      </c>
      <c r="I23" s="107">
        <f t="shared" si="12"/>
        <v>0</v>
      </c>
      <c r="J23" s="246">
        <f t="shared" si="12"/>
        <v>2527000</v>
      </c>
      <c r="K23" s="184">
        <f t="shared" si="12"/>
        <v>742200</v>
      </c>
      <c r="L23" s="105">
        <f t="shared" si="12"/>
        <v>-100700</v>
      </c>
      <c r="M23" s="107">
        <f t="shared" si="12"/>
        <v>135600</v>
      </c>
      <c r="N23" s="203">
        <f t="shared" si="12"/>
        <v>1700000</v>
      </c>
      <c r="O23" s="106">
        <f>O19+O21+O13</f>
        <v>1092599500</v>
      </c>
      <c r="P23" s="233">
        <f>P19+P21+P13</f>
        <v>1700000</v>
      </c>
      <c r="Q23" s="107">
        <f t="shared" si="12"/>
        <v>1094299500</v>
      </c>
      <c r="R23" s="234">
        <f t="shared" si="12"/>
        <v>6027400</v>
      </c>
      <c r="S23" s="235">
        <f>O23/B23-1</f>
        <v>5.5471698564688587E-3</v>
      </c>
    </row>
    <row r="24" spans="1:19" x14ac:dyDescent="0.35">
      <c r="A24" s="38"/>
      <c r="B24" s="56"/>
      <c r="C24" s="66"/>
      <c r="D24" s="56"/>
      <c r="E24" s="86"/>
      <c r="F24" s="185"/>
      <c r="G24" s="185"/>
      <c r="H24" s="11"/>
      <c r="I24" s="92"/>
      <c r="J24" s="247"/>
      <c r="K24" s="185"/>
      <c r="L24" s="91"/>
      <c r="M24" s="92"/>
      <c r="N24" s="208"/>
      <c r="O24" s="86"/>
      <c r="P24" s="236"/>
      <c r="Q24" s="92"/>
      <c r="R24" s="237"/>
      <c r="S24" s="49"/>
    </row>
    <row r="25" spans="1:19" x14ac:dyDescent="0.35">
      <c r="A25" s="40" t="s">
        <v>73</v>
      </c>
      <c r="B25" s="55">
        <v>75727400</v>
      </c>
      <c r="C25" s="65">
        <v>-18700</v>
      </c>
      <c r="D25" s="55">
        <f>SUM(B25:C25)</f>
        <v>75708700</v>
      </c>
      <c r="E25" s="106">
        <v>0</v>
      </c>
      <c r="F25" s="184">
        <v>0</v>
      </c>
      <c r="G25" s="184">
        <v>131900</v>
      </c>
      <c r="H25" s="10">
        <v>0</v>
      </c>
      <c r="I25" s="107">
        <v>0</v>
      </c>
      <c r="J25" s="246">
        <v>161000</v>
      </c>
      <c r="K25" s="184">
        <f>-27100+-323200</f>
        <v>-350300</v>
      </c>
      <c r="L25" s="105">
        <v>-42300</v>
      </c>
      <c r="M25" s="107">
        <v>13700</v>
      </c>
      <c r="N25" s="203">
        <v>0</v>
      </c>
      <c r="O25" s="106">
        <f t="shared" ref="O25" si="13">SUM(B25:C25,E25:M25)</f>
        <v>75622700</v>
      </c>
      <c r="P25" s="233">
        <f>SUM(N25:N25)</f>
        <v>0</v>
      </c>
      <c r="Q25" s="107">
        <f>O25+P25</f>
        <v>75622700</v>
      </c>
      <c r="R25" s="234">
        <f>O25-B25</f>
        <v>-104700</v>
      </c>
      <c r="S25" s="235">
        <f>O25/B25-1</f>
        <v>-1.3825907135329718E-3</v>
      </c>
    </row>
    <row r="26" spans="1:19" x14ac:dyDescent="0.35">
      <c r="A26" s="38"/>
      <c r="B26" s="56"/>
      <c r="C26" s="66"/>
      <c r="D26" s="56"/>
      <c r="E26" s="86"/>
      <c r="F26" s="185"/>
      <c r="G26" s="185"/>
      <c r="H26" s="11"/>
      <c r="I26" s="92"/>
      <c r="J26" s="247"/>
      <c r="K26" s="185"/>
      <c r="L26" s="91"/>
      <c r="M26" s="92"/>
      <c r="N26" s="208"/>
      <c r="O26" s="86"/>
      <c r="P26" s="236"/>
      <c r="Q26" s="92"/>
      <c r="R26" s="237"/>
      <c r="S26" s="49"/>
    </row>
    <row r="27" spans="1:19" ht="18.75" thickBot="1" x14ac:dyDescent="0.4">
      <c r="A27" s="45" t="s">
        <v>14</v>
      </c>
      <c r="B27" s="57">
        <f t="shared" ref="B27:O27" si="14">B23+B25</f>
        <v>1162299500</v>
      </c>
      <c r="C27" s="67">
        <f t="shared" si="14"/>
        <v>0</v>
      </c>
      <c r="D27" s="57">
        <f>D23+D25</f>
        <v>1162299500</v>
      </c>
      <c r="E27" s="128">
        <f t="shared" si="14"/>
        <v>0</v>
      </c>
      <c r="F27" s="187">
        <f t="shared" si="14"/>
        <v>0</v>
      </c>
      <c r="G27" s="187">
        <f t="shared" si="14"/>
        <v>2836500</v>
      </c>
      <c r="H27" s="12">
        <f>H23+H25</f>
        <v>0</v>
      </c>
      <c r="I27" s="129">
        <f t="shared" si="14"/>
        <v>0</v>
      </c>
      <c r="J27" s="249">
        <f t="shared" si="14"/>
        <v>2688000</v>
      </c>
      <c r="K27" s="187">
        <f t="shared" si="14"/>
        <v>391900</v>
      </c>
      <c r="L27" s="127">
        <f t="shared" si="14"/>
        <v>-143000</v>
      </c>
      <c r="M27" s="129">
        <f t="shared" si="14"/>
        <v>149300</v>
      </c>
      <c r="N27" s="210">
        <f>N23+N25</f>
        <v>1700000</v>
      </c>
      <c r="O27" s="128">
        <f t="shared" si="14"/>
        <v>1168222200</v>
      </c>
      <c r="P27" s="238">
        <f>P23+P25</f>
        <v>1700000</v>
      </c>
      <c r="Q27" s="129">
        <f>Q23+Q25</f>
        <v>1169922200</v>
      </c>
      <c r="R27" s="239">
        <f>R23+R25</f>
        <v>5922700</v>
      </c>
      <c r="S27" s="240">
        <f>O27/B27-1</f>
        <v>5.0956745658068403E-3</v>
      </c>
    </row>
    <row r="28" spans="1:19" x14ac:dyDescent="0.35">
      <c r="A28" s="46"/>
      <c r="B28" s="58"/>
      <c r="C28" s="58"/>
      <c r="D28" s="58"/>
      <c r="E28" s="58"/>
      <c r="F28" s="58"/>
      <c r="G28" s="58"/>
      <c r="H28" s="13"/>
      <c r="I28" s="58"/>
      <c r="J28" s="58"/>
      <c r="K28" s="58"/>
      <c r="L28" s="58"/>
      <c r="M28" s="58"/>
      <c r="N28" s="58"/>
      <c r="O28" s="58"/>
      <c r="P28" s="58"/>
      <c r="Q28" s="58"/>
      <c r="R28" s="58"/>
      <c r="S28" s="241"/>
    </row>
    <row r="29" spans="1:19" x14ac:dyDescent="0.35">
      <c r="A29" s="47"/>
      <c r="B29" s="47"/>
      <c r="C29" s="47"/>
      <c r="D29" s="47"/>
      <c r="E29" s="47"/>
      <c r="F29" s="47"/>
      <c r="G29" s="47"/>
      <c r="H29" s="15"/>
      <c r="I29" s="47"/>
      <c r="J29" s="47"/>
      <c r="K29" s="47"/>
      <c r="L29" s="47"/>
      <c r="M29" s="47"/>
      <c r="N29" s="47"/>
      <c r="O29" s="47"/>
      <c r="P29" s="47"/>
      <c r="Q29" s="47"/>
      <c r="R29" s="47"/>
      <c r="S29" s="47"/>
    </row>
    <row r="30" spans="1:19" x14ac:dyDescent="0.35">
      <c r="A30" s="47"/>
      <c r="B30" s="47"/>
      <c r="C30" s="47"/>
      <c r="D30" s="47"/>
      <c r="E30" s="47"/>
      <c r="F30" s="47"/>
      <c r="G30" s="47"/>
      <c r="H30" s="15"/>
      <c r="I30" s="47"/>
      <c r="J30" s="47"/>
      <c r="K30" s="47"/>
      <c r="L30" s="47"/>
      <c r="M30" s="47"/>
      <c r="N30" s="47"/>
      <c r="O30" s="47"/>
      <c r="P30" s="47"/>
      <c r="Q30" s="47"/>
      <c r="R30" s="47"/>
      <c r="S30" s="47"/>
    </row>
  </sheetData>
  <mergeCells count="5">
    <mergeCell ref="A1:S1"/>
    <mergeCell ref="C3:D3"/>
    <mergeCell ref="O3:Q3"/>
    <mergeCell ref="E3:I3"/>
    <mergeCell ref="J3:M3"/>
  </mergeCells>
  <phoneticPr fontId="20" type="noConversion"/>
  <printOptions horizontalCentered="1"/>
  <pageMargins left="0.25" right="0.25" top="0.75" bottom="0.75" header="0.3" footer="0.3"/>
  <pageSetup paperSize="17" scale="70" orientation="landscape" r:id="rId1"/>
  <headerFooter alignWithMargins="0"/>
  <ignoredErrors>
    <ignoredError sqref="O21:O25 O7:O12 O16:O18" formulaRange="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96"/>
  <sheetViews>
    <sheetView view="pageBreakPreview" zoomScale="60" zoomScaleNormal="75" workbookViewId="0">
      <pane xSplit="1" ySplit="5" topLeftCell="G6" activePane="bottomRight" state="frozen"/>
      <selection pane="topRight" activeCell="B1" sqref="B1"/>
      <selection pane="bottomLeft" activeCell="A6" sqref="A6"/>
      <selection pane="bottomRight" activeCell="Q90" sqref="Q90"/>
    </sheetView>
  </sheetViews>
  <sheetFormatPr defaultRowHeight="18" x14ac:dyDescent="0.35"/>
  <cols>
    <col min="1" max="1" width="68.140625" style="33" customWidth="1"/>
    <col min="2" max="2" width="22.140625" style="33" bestFit="1" customWidth="1"/>
    <col min="3" max="3" width="15.7109375" style="33" bestFit="1" customWidth="1"/>
    <col min="4" max="4" width="20.42578125" style="33" bestFit="1" customWidth="1"/>
    <col min="5" max="6" width="18.140625" style="33" bestFit="1" customWidth="1"/>
    <col min="7" max="7" width="16.7109375" style="33" bestFit="1" customWidth="1"/>
    <col min="8" max="8" width="16.42578125" style="4" hidden="1" customWidth="1"/>
    <col min="9" max="13" width="17" style="33" customWidth="1"/>
    <col min="14" max="14" width="18.42578125" style="33" bestFit="1" customWidth="1"/>
    <col min="15" max="15" width="21.85546875" style="33" bestFit="1" customWidth="1"/>
    <col min="16" max="16" width="18.42578125" style="33" bestFit="1" customWidth="1"/>
    <col min="17" max="17" width="22.140625" style="33" bestFit="1" customWidth="1"/>
    <col min="18" max="18" width="18.42578125" style="33" bestFit="1" customWidth="1"/>
    <col min="19" max="19" width="16.7109375" style="33" bestFit="1" customWidth="1"/>
    <col min="20" max="20" width="22.7109375" style="4" bestFit="1" customWidth="1"/>
    <col min="21" max="21" width="4.140625" style="4" customWidth="1"/>
    <col min="22" max="25" width="9.140625" style="4"/>
    <col min="26" max="26" width="36.42578125" style="4" bestFit="1" customWidth="1"/>
    <col min="27" max="16384" width="9.140625" style="4"/>
  </cols>
  <sheetData>
    <row r="1" spans="1:21" s="33" customFormat="1" ht="22.5" x14ac:dyDescent="0.4">
      <c r="A1" s="275"/>
      <c r="B1" s="275"/>
      <c r="C1" s="275"/>
      <c r="D1" s="275"/>
      <c r="E1" s="275"/>
      <c r="F1" s="275"/>
      <c r="G1" s="275"/>
      <c r="H1" s="275"/>
      <c r="I1" s="275"/>
      <c r="J1" s="275"/>
      <c r="K1" s="275"/>
      <c r="L1" s="275"/>
      <c r="M1" s="275"/>
      <c r="N1" s="275"/>
      <c r="O1" s="275"/>
      <c r="P1" s="275"/>
      <c r="Q1" s="275"/>
      <c r="R1" s="275"/>
      <c r="S1" s="275"/>
    </row>
    <row r="2" spans="1:21" s="33" customFormat="1" ht="18.75" thickBot="1" x14ac:dyDescent="0.4">
      <c r="G2" s="142"/>
      <c r="O2" s="143"/>
      <c r="P2" s="143"/>
      <c r="Q2" s="143"/>
      <c r="R2" s="143"/>
      <c r="S2" s="143"/>
    </row>
    <row r="3" spans="1:21" s="33" customFormat="1" x14ac:dyDescent="0.35">
      <c r="A3" s="68"/>
      <c r="B3" s="69" t="s">
        <v>99</v>
      </c>
      <c r="C3" s="276" t="s">
        <v>107</v>
      </c>
      <c r="D3" s="277"/>
      <c r="E3" s="281" t="s">
        <v>108</v>
      </c>
      <c r="F3" s="282"/>
      <c r="G3" s="282"/>
      <c r="H3" s="282"/>
      <c r="I3" s="283"/>
      <c r="J3" s="281" t="s">
        <v>116</v>
      </c>
      <c r="K3" s="282"/>
      <c r="L3" s="282"/>
      <c r="M3" s="283"/>
      <c r="N3" s="144" t="s">
        <v>107</v>
      </c>
      <c r="O3" s="278" t="s">
        <v>107</v>
      </c>
      <c r="P3" s="279"/>
      <c r="Q3" s="280"/>
      <c r="R3" s="145" t="s">
        <v>49</v>
      </c>
      <c r="S3" s="146"/>
    </row>
    <row r="4" spans="1:21" s="33" customFormat="1" x14ac:dyDescent="0.35">
      <c r="A4" s="70"/>
      <c r="B4" s="71" t="s">
        <v>16</v>
      </c>
      <c r="C4" s="72" t="s">
        <v>77</v>
      </c>
      <c r="D4" s="73" t="s">
        <v>62</v>
      </c>
      <c r="E4" s="147" t="s">
        <v>58</v>
      </c>
      <c r="F4" s="148" t="s">
        <v>46</v>
      </c>
      <c r="G4" s="148" t="s">
        <v>44</v>
      </c>
      <c r="H4" s="149" t="s">
        <v>71</v>
      </c>
      <c r="I4" s="73" t="s">
        <v>61</v>
      </c>
      <c r="J4" s="147" t="s">
        <v>117</v>
      </c>
      <c r="K4" s="148" t="s">
        <v>118</v>
      </c>
      <c r="L4" s="149" t="s">
        <v>115</v>
      </c>
      <c r="M4" s="73" t="s">
        <v>121</v>
      </c>
      <c r="N4" s="150" t="s">
        <v>15</v>
      </c>
      <c r="O4" s="151" t="s">
        <v>16</v>
      </c>
      <c r="P4" s="152" t="s">
        <v>15</v>
      </c>
      <c r="Q4" s="152" t="s">
        <v>72</v>
      </c>
      <c r="R4" s="152" t="s">
        <v>16</v>
      </c>
      <c r="S4" s="153" t="s">
        <v>16</v>
      </c>
    </row>
    <row r="5" spans="1:21" s="33" customFormat="1" x14ac:dyDescent="0.35">
      <c r="A5" s="74" t="s">
        <v>18</v>
      </c>
      <c r="B5" s="75" t="s">
        <v>48</v>
      </c>
      <c r="C5" s="76" t="s">
        <v>76</v>
      </c>
      <c r="D5" s="77" t="s">
        <v>45</v>
      </c>
      <c r="E5" s="154" t="s">
        <v>59</v>
      </c>
      <c r="F5" s="155" t="s">
        <v>47</v>
      </c>
      <c r="G5" s="155" t="s">
        <v>47</v>
      </c>
      <c r="H5" s="156" t="s">
        <v>66</v>
      </c>
      <c r="I5" s="77" t="s">
        <v>16</v>
      </c>
      <c r="J5" s="154" t="s">
        <v>64</v>
      </c>
      <c r="K5" s="155" t="s">
        <v>119</v>
      </c>
      <c r="L5" s="156" t="s">
        <v>120</v>
      </c>
      <c r="M5" s="77" t="s">
        <v>120</v>
      </c>
      <c r="N5" s="157" t="s">
        <v>69</v>
      </c>
      <c r="O5" s="76" t="s">
        <v>48</v>
      </c>
      <c r="P5" s="156" t="s">
        <v>48</v>
      </c>
      <c r="Q5" s="156" t="s">
        <v>48</v>
      </c>
      <c r="R5" s="156" t="s">
        <v>48</v>
      </c>
      <c r="S5" s="158" t="s">
        <v>17</v>
      </c>
    </row>
    <row r="6" spans="1:21" x14ac:dyDescent="0.35">
      <c r="A6" s="78" t="s">
        <v>19</v>
      </c>
      <c r="B6" s="79"/>
      <c r="C6" s="80"/>
      <c r="D6" s="81"/>
      <c r="E6" s="188"/>
      <c r="F6" s="189"/>
      <c r="G6" s="189"/>
      <c r="H6" s="7"/>
      <c r="I6" s="81"/>
      <c r="J6" s="188"/>
      <c r="K6" s="189"/>
      <c r="L6" s="186"/>
      <c r="M6" s="81"/>
      <c r="N6" s="211"/>
      <c r="O6" s="212"/>
      <c r="P6" s="212"/>
      <c r="Q6" s="212"/>
      <c r="R6" s="212"/>
      <c r="S6" s="213"/>
    </row>
    <row r="7" spans="1:21" x14ac:dyDescent="0.35">
      <c r="A7" s="70" t="s">
        <v>20</v>
      </c>
      <c r="B7" s="79">
        <v>35543300</v>
      </c>
      <c r="C7" s="80">
        <v>0</v>
      </c>
      <c r="D7" s="82">
        <f>SUM(B7:C7)</f>
        <v>35543300</v>
      </c>
      <c r="E7" s="80">
        <v>0</v>
      </c>
      <c r="F7" s="186">
        <v>0</v>
      </c>
      <c r="G7" s="186">
        <v>49500</v>
      </c>
      <c r="H7" s="7">
        <v>0</v>
      </c>
      <c r="I7" s="82">
        <f>495500+600000</f>
        <v>1095500</v>
      </c>
      <c r="J7" s="80">
        <v>32200</v>
      </c>
      <c r="K7" s="186">
        <f>1300+-800</f>
        <v>500</v>
      </c>
      <c r="L7" s="186">
        <v>-3700</v>
      </c>
      <c r="M7" s="82">
        <v>0</v>
      </c>
      <c r="N7" s="82">
        <v>0</v>
      </c>
      <c r="O7" s="186">
        <f>SUM(D7,E7:M7)</f>
        <v>36717300</v>
      </c>
      <c r="P7" s="186">
        <f>SUM(N7:N7)</f>
        <v>0</v>
      </c>
      <c r="Q7" s="186">
        <f>O7+P7</f>
        <v>36717300</v>
      </c>
      <c r="R7" s="186">
        <f>O7-B7</f>
        <v>1174000</v>
      </c>
      <c r="S7" s="214">
        <f>(O7-B7)/B7</f>
        <v>3.3030135074683553E-2</v>
      </c>
      <c r="T7" s="17"/>
      <c r="U7" s="14"/>
    </row>
    <row r="8" spans="1:21" x14ac:dyDescent="0.35">
      <c r="A8" s="70" t="s">
        <v>21</v>
      </c>
      <c r="B8" s="83">
        <v>7816500</v>
      </c>
      <c r="C8" s="84">
        <v>0</v>
      </c>
      <c r="D8" s="85">
        <f t="shared" ref="D8" si="0">SUM(B8:C8)</f>
        <v>7816500</v>
      </c>
      <c r="E8" s="84">
        <v>0</v>
      </c>
      <c r="F8" s="190">
        <v>0</v>
      </c>
      <c r="G8" s="190">
        <v>9000</v>
      </c>
      <c r="H8" s="18">
        <v>0</v>
      </c>
      <c r="I8" s="85">
        <v>0</v>
      </c>
      <c r="J8" s="84">
        <v>8800</v>
      </c>
      <c r="K8" s="190">
        <f>1100+1100</f>
        <v>2200</v>
      </c>
      <c r="L8" s="190">
        <v>-700</v>
      </c>
      <c r="M8" s="85">
        <v>0</v>
      </c>
      <c r="N8" s="85">
        <v>0</v>
      </c>
      <c r="O8" s="190">
        <f t="shared" ref="O8:O10" si="1">SUM(D8,E8:M8)</f>
        <v>7835800</v>
      </c>
      <c r="P8" s="190">
        <f t="shared" ref="P8:P10" si="2">SUM(N8:N8)</f>
        <v>0</v>
      </c>
      <c r="Q8" s="190">
        <f t="shared" ref="Q8" si="3">O8+P8</f>
        <v>7835800</v>
      </c>
      <c r="R8" s="190">
        <f>O8-B8</f>
        <v>19300</v>
      </c>
      <c r="S8" s="214">
        <f>(O8-B8)/B8</f>
        <v>2.4691358024691358E-3</v>
      </c>
    </row>
    <row r="9" spans="1:21" x14ac:dyDescent="0.35">
      <c r="A9" s="86" t="s">
        <v>52</v>
      </c>
      <c r="B9" s="83">
        <v>22192700</v>
      </c>
      <c r="C9" s="84">
        <v>0</v>
      </c>
      <c r="D9" s="85">
        <f>SUM(B9:C9)</f>
        <v>22192700</v>
      </c>
      <c r="E9" s="84">
        <v>0</v>
      </c>
      <c r="F9" s="190">
        <v>0</v>
      </c>
      <c r="G9" s="190">
        <v>52100</v>
      </c>
      <c r="H9" s="18">
        <v>0</v>
      </c>
      <c r="I9" s="85">
        <v>0</v>
      </c>
      <c r="J9" s="84">
        <v>54200</v>
      </c>
      <c r="K9" s="190">
        <f>-4500+-21700</f>
        <v>-26200</v>
      </c>
      <c r="L9" s="190">
        <v>5800</v>
      </c>
      <c r="M9" s="85">
        <v>1600</v>
      </c>
      <c r="N9" s="85">
        <v>0</v>
      </c>
      <c r="O9" s="190">
        <f t="shared" si="1"/>
        <v>22280200</v>
      </c>
      <c r="P9" s="190">
        <f>SUM(N9:N9)</f>
        <v>0</v>
      </c>
      <c r="Q9" s="190">
        <f>O9+P9</f>
        <v>22280200</v>
      </c>
      <c r="R9" s="190">
        <f>O9-B9</f>
        <v>87500</v>
      </c>
      <c r="S9" s="214">
        <f>(O9-B9)/B9</f>
        <v>3.9427379273364663E-3</v>
      </c>
    </row>
    <row r="10" spans="1:21" x14ac:dyDescent="0.35">
      <c r="A10" s="74" t="s">
        <v>83</v>
      </c>
      <c r="B10" s="83">
        <v>162001500</v>
      </c>
      <c r="C10" s="84">
        <f>59576300-10929900-48646400</f>
        <v>0</v>
      </c>
      <c r="D10" s="85">
        <f>SUM(B10:C10)</f>
        <v>162001500</v>
      </c>
      <c r="E10" s="84">
        <v>0</v>
      </c>
      <c r="F10" s="190">
        <v>0</v>
      </c>
      <c r="G10" s="190">
        <v>391700</v>
      </c>
      <c r="H10" s="18">
        <v>0</v>
      </c>
      <c r="I10" s="85">
        <v>0</v>
      </c>
      <c r="J10" s="84">
        <v>269200</v>
      </c>
      <c r="K10" s="190">
        <f>55000+23400</f>
        <v>78400</v>
      </c>
      <c r="L10" s="190">
        <v>-5500</v>
      </c>
      <c r="M10" s="85">
        <v>12700</v>
      </c>
      <c r="N10" s="85">
        <v>0</v>
      </c>
      <c r="O10" s="190">
        <f t="shared" si="1"/>
        <v>162748000</v>
      </c>
      <c r="P10" s="190">
        <f t="shared" si="2"/>
        <v>0</v>
      </c>
      <c r="Q10" s="190">
        <f>O10+P10</f>
        <v>162748000</v>
      </c>
      <c r="R10" s="190">
        <f>O10-B10</f>
        <v>746500</v>
      </c>
      <c r="S10" s="214">
        <f>(O10-B10)/B10</f>
        <v>4.6079820248577947E-3</v>
      </c>
    </row>
    <row r="11" spans="1:21" x14ac:dyDescent="0.35">
      <c r="A11" s="87" t="s">
        <v>7</v>
      </c>
      <c r="B11" s="88">
        <f t="shared" ref="B11:R11" si="4">SUM(B7:B10)</f>
        <v>227554000</v>
      </c>
      <c r="C11" s="89">
        <f t="shared" si="4"/>
        <v>0</v>
      </c>
      <c r="D11" s="90">
        <f t="shared" si="4"/>
        <v>227554000</v>
      </c>
      <c r="E11" s="89">
        <f t="shared" si="4"/>
        <v>0</v>
      </c>
      <c r="F11" s="191">
        <f t="shared" si="4"/>
        <v>0</v>
      </c>
      <c r="G11" s="191">
        <f t="shared" si="4"/>
        <v>502300</v>
      </c>
      <c r="H11" s="19">
        <f t="shared" si="4"/>
        <v>0</v>
      </c>
      <c r="I11" s="90">
        <f t="shared" si="4"/>
        <v>1095500</v>
      </c>
      <c r="J11" s="89">
        <f t="shared" si="4"/>
        <v>364400</v>
      </c>
      <c r="K11" s="191">
        <f t="shared" si="4"/>
        <v>54900</v>
      </c>
      <c r="L11" s="191">
        <f t="shared" si="4"/>
        <v>-4100</v>
      </c>
      <c r="M11" s="90">
        <f t="shared" si="4"/>
        <v>14300</v>
      </c>
      <c r="N11" s="90">
        <f t="shared" si="4"/>
        <v>0</v>
      </c>
      <c r="O11" s="191">
        <f t="shared" si="4"/>
        <v>229581300</v>
      </c>
      <c r="P11" s="191">
        <f t="shared" si="4"/>
        <v>0</v>
      </c>
      <c r="Q11" s="191">
        <f t="shared" si="4"/>
        <v>229581300</v>
      </c>
      <c r="R11" s="191">
        <f t="shared" si="4"/>
        <v>2027300</v>
      </c>
      <c r="S11" s="215">
        <f>(O11-B11)/B11</f>
        <v>8.9090941051354847E-3</v>
      </c>
      <c r="T11" s="14"/>
    </row>
    <row r="12" spans="1:21" x14ac:dyDescent="0.35">
      <c r="A12" s="87"/>
      <c r="B12" s="91"/>
      <c r="C12" s="70"/>
      <c r="D12" s="92"/>
      <c r="E12" s="70"/>
      <c r="F12" s="185"/>
      <c r="G12" s="185"/>
      <c r="H12" s="11"/>
      <c r="I12" s="92"/>
      <c r="J12" s="70"/>
      <c r="K12" s="185"/>
      <c r="L12" s="185"/>
      <c r="M12" s="92"/>
      <c r="N12" s="92"/>
      <c r="O12" s="185"/>
      <c r="P12" s="185"/>
      <c r="Q12" s="185"/>
      <c r="R12" s="185"/>
      <c r="S12" s="214"/>
    </row>
    <row r="13" spans="1:21" x14ac:dyDescent="0.35">
      <c r="A13" s="78" t="s">
        <v>22</v>
      </c>
      <c r="B13" s="79"/>
      <c r="C13" s="80"/>
      <c r="D13" s="82"/>
      <c r="E13" s="80"/>
      <c r="F13" s="186"/>
      <c r="G13" s="186"/>
      <c r="H13" s="7"/>
      <c r="I13" s="82"/>
      <c r="J13" s="80"/>
      <c r="K13" s="186"/>
      <c r="L13" s="186"/>
      <c r="M13" s="82"/>
      <c r="N13" s="82"/>
      <c r="O13" s="186"/>
      <c r="P13" s="186"/>
      <c r="Q13" s="186"/>
      <c r="R13" s="186"/>
      <c r="S13" s="214"/>
    </row>
    <row r="14" spans="1:21" x14ac:dyDescent="0.35">
      <c r="A14" s="70" t="s">
        <v>53</v>
      </c>
      <c r="B14" s="79">
        <v>31092900</v>
      </c>
      <c r="C14" s="80">
        <v>0</v>
      </c>
      <c r="D14" s="82">
        <f t="shared" ref="D14:D25" si="5">SUM(B14:C14)</f>
        <v>31092900</v>
      </c>
      <c r="E14" s="80">
        <v>0</v>
      </c>
      <c r="F14" s="186">
        <v>0</v>
      </c>
      <c r="G14" s="186">
        <v>56100</v>
      </c>
      <c r="H14" s="7">
        <v>0</v>
      </c>
      <c r="I14" s="82">
        <v>0</v>
      </c>
      <c r="J14" s="80">
        <v>40200</v>
      </c>
      <c r="K14" s="186">
        <f>-9100+-31800</f>
        <v>-40900</v>
      </c>
      <c r="L14" s="186">
        <v>8300</v>
      </c>
      <c r="M14" s="82">
        <v>4200</v>
      </c>
      <c r="N14" s="82">
        <v>0</v>
      </c>
      <c r="O14" s="186">
        <f t="shared" ref="O14:O25" si="6">SUM(D14,E14:M14)</f>
        <v>31160800</v>
      </c>
      <c r="P14" s="186">
        <f t="shared" ref="P14:P25" si="7">SUM(N14:N14)</f>
        <v>0</v>
      </c>
      <c r="Q14" s="186">
        <f t="shared" ref="Q14:Q25" si="8">O14+P14</f>
        <v>31160800</v>
      </c>
      <c r="R14" s="186">
        <f t="shared" ref="R14:R20" si="9">O14-B14</f>
        <v>67900</v>
      </c>
      <c r="S14" s="214">
        <f t="shared" ref="S14:S26" si="10">(O14-B14)/B14</f>
        <v>2.1837782902205971E-3</v>
      </c>
    </row>
    <row r="15" spans="1:21" x14ac:dyDescent="0.35">
      <c r="A15" s="70" t="s">
        <v>54</v>
      </c>
      <c r="B15" s="83">
        <v>38276100</v>
      </c>
      <c r="C15" s="84">
        <v>0</v>
      </c>
      <c r="D15" s="85">
        <f t="shared" si="5"/>
        <v>38276100</v>
      </c>
      <c r="E15" s="84">
        <v>0</v>
      </c>
      <c r="F15" s="190">
        <v>0</v>
      </c>
      <c r="G15" s="190">
        <v>107700</v>
      </c>
      <c r="H15" s="18">
        <v>0</v>
      </c>
      <c r="I15" s="85">
        <v>0</v>
      </c>
      <c r="J15" s="84">
        <v>53800</v>
      </c>
      <c r="K15" s="190">
        <f>2500+-19300</f>
        <v>-16800</v>
      </c>
      <c r="L15" s="190">
        <v>5600</v>
      </c>
      <c r="M15" s="85">
        <v>2400</v>
      </c>
      <c r="N15" s="85">
        <v>0</v>
      </c>
      <c r="O15" s="190">
        <f t="shared" si="6"/>
        <v>38428800</v>
      </c>
      <c r="P15" s="190">
        <f t="shared" si="7"/>
        <v>0</v>
      </c>
      <c r="Q15" s="190">
        <f t="shared" si="8"/>
        <v>38428800</v>
      </c>
      <c r="R15" s="190">
        <f t="shared" si="9"/>
        <v>152700</v>
      </c>
      <c r="S15" s="214">
        <f t="shared" si="10"/>
        <v>3.9894346602710306E-3</v>
      </c>
    </row>
    <row r="16" spans="1:21" x14ac:dyDescent="0.35">
      <c r="A16" s="70" t="s">
        <v>23</v>
      </c>
      <c r="B16" s="83">
        <v>1429200</v>
      </c>
      <c r="C16" s="84">
        <v>0</v>
      </c>
      <c r="D16" s="85">
        <f t="shared" si="5"/>
        <v>1429200</v>
      </c>
      <c r="E16" s="84">
        <v>0</v>
      </c>
      <c r="F16" s="190">
        <v>0</v>
      </c>
      <c r="G16" s="190">
        <v>0</v>
      </c>
      <c r="H16" s="18">
        <v>0</v>
      </c>
      <c r="I16" s="85">
        <v>0</v>
      </c>
      <c r="J16" s="84">
        <v>700</v>
      </c>
      <c r="K16" s="190">
        <v>0</v>
      </c>
      <c r="L16" s="190">
        <v>0</v>
      </c>
      <c r="M16" s="85">
        <v>0</v>
      </c>
      <c r="N16" s="85">
        <v>0</v>
      </c>
      <c r="O16" s="190">
        <f t="shared" si="6"/>
        <v>1429900</v>
      </c>
      <c r="P16" s="190">
        <f t="shared" si="7"/>
        <v>0</v>
      </c>
      <c r="Q16" s="190">
        <f t="shared" si="8"/>
        <v>1429900</v>
      </c>
      <c r="R16" s="190">
        <f t="shared" si="9"/>
        <v>700</v>
      </c>
      <c r="S16" s="214">
        <f t="shared" si="10"/>
        <v>4.8978449482227815E-4</v>
      </c>
    </row>
    <row r="17" spans="1:20" x14ac:dyDescent="0.35">
      <c r="A17" s="70" t="s">
        <v>55</v>
      </c>
      <c r="B17" s="83">
        <v>4771800</v>
      </c>
      <c r="C17" s="84">
        <v>0</v>
      </c>
      <c r="D17" s="85">
        <f t="shared" si="5"/>
        <v>4771800</v>
      </c>
      <c r="E17" s="84">
        <v>0</v>
      </c>
      <c r="F17" s="190">
        <v>0</v>
      </c>
      <c r="G17" s="190">
        <v>0</v>
      </c>
      <c r="H17" s="18">
        <v>0</v>
      </c>
      <c r="I17" s="85">
        <v>0</v>
      </c>
      <c r="J17" s="84">
        <v>2100</v>
      </c>
      <c r="K17" s="190">
        <v>0</v>
      </c>
      <c r="L17" s="190">
        <v>-2300</v>
      </c>
      <c r="M17" s="85">
        <v>0</v>
      </c>
      <c r="N17" s="85">
        <v>0</v>
      </c>
      <c r="O17" s="190">
        <f t="shared" si="6"/>
        <v>4771600</v>
      </c>
      <c r="P17" s="190">
        <f t="shared" si="7"/>
        <v>0</v>
      </c>
      <c r="Q17" s="190">
        <f t="shared" si="8"/>
        <v>4771600</v>
      </c>
      <c r="R17" s="190">
        <f t="shared" si="9"/>
        <v>-200</v>
      </c>
      <c r="S17" s="214">
        <f t="shared" si="10"/>
        <v>-4.1912904983444406E-5</v>
      </c>
    </row>
    <row r="18" spans="1:20" x14ac:dyDescent="0.35">
      <c r="A18" s="70" t="s">
        <v>24</v>
      </c>
      <c r="B18" s="83">
        <v>3703500</v>
      </c>
      <c r="C18" s="84">
        <v>0</v>
      </c>
      <c r="D18" s="85">
        <f t="shared" si="5"/>
        <v>3703500</v>
      </c>
      <c r="E18" s="84">
        <v>0</v>
      </c>
      <c r="F18" s="190">
        <v>0</v>
      </c>
      <c r="G18" s="190">
        <v>0</v>
      </c>
      <c r="H18" s="18">
        <v>0</v>
      </c>
      <c r="I18" s="85">
        <v>0</v>
      </c>
      <c r="J18" s="84">
        <v>5100</v>
      </c>
      <c r="K18" s="190">
        <v>0</v>
      </c>
      <c r="L18" s="190">
        <v>-3400</v>
      </c>
      <c r="M18" s="85">
        <v>0</v>
      </c>
      <c r="N18" s="85">
        <v>0</v>
      </c>
      <c r="O18" s="190">
        <f t="shared" si="6"/>
        <v>3705200</v>
      </c>
      <c r="P18" s="190">
        <f t="shared" si="7"/>
        <v>0</v>
      </c>
      <c r="Q18" s="190">
        <f t="shared" si="8"/>
        <v>3705200</v>
      </c>
      <c r="R18" s="190">
        <f t="shared" si="9"/>
        <v>1700</v>
      </c>
      <c r="S18" s="214">
        <f t="shared" si="10"/>
        <v>4.5902524638855138E-4</v>
      </c>
    </row>
    <row r="19" spans="1:20" x14ac:dyDescent="0.35">
      <c r="A19" s="70" t="s">
        <v>43</v>
      </c>
      <c r="B19" s="83">
        <v>198900</v>
      </c>
      <c r="C19" s="84">
        <v>0</v>
      </c>
      <c r="D19" s="85">
        <f t="shared" si="5"/>
        <v>198900</v>
      </c>
      <c r="E19" s="84">
        <v>0</v>
      </c>
      <c r="F19" s="190">
        <v>0</v>
      </c>
      <c r="G19" s="190">
        <v>0</v>
      </c>
      <c r="H19" s="18">
        <v>0</v>
      </c>
      <c r="I19" s="85">
        <v>0</v>
      </c>
      <c r="J19" s="84">
        <v>0</v>
      </c>
      <c r="K19" s="190">
        <v>0</v>
      </c>
      <c r="L19" s="190">
        <v>0</v>
      </c>
      <c r="M19" s="85">
        <v>0</v>
      </c>
      <c r="N19" s="85">
        <v>0</v>
      </c>
      <c r="O19" s="190">
        <f t="shared" si="6"/>
        <v>198900</v>
      </c>
      <c r="P19" s="190">
        <f t="shared" si="7"/>
        <v>0</v>
      </c>
      <c r="Q19" s="190">
        <f t="shared" si="8"/>
        <v>198900</v>
      </c>
      <c r="R19" s="190">
        <f t="shared" si="9"/>
        <v>0</v>
      </c>
      <c r="S19" s="214">
        <f t="shared" si="10"/>
        <v>0</v>
      </c>
    </row>
    <row r="20" spans="1:20" x14ac:dyDescent="0.35">
      <c r="A20" s="70" t="s">
        <v>25</v>
      </c>
      <c r="B20" s="83">
        <v>9290800</v>
      </c>
      <c r="C20" s="84">
        <v>0</v>
      </c>
      <c r="D20" s="85">
        <f t="shared" si="5"/>
        <v>9290800</v>
      </c>
      <c r="E20" s="84">
        <v>0</v>
      </c>
      <c r="F20" s="190">
        <v>0</v>
      </c>
      <c r="G20" s="190">
        <v>8600</v>
      </c>
      <c r="H20" s="18">
        <v>0</v>
      </c>
      <c r="I20" s="85">
        <v>0</v>
      </c>
      <c r="J20" s="84">
        <v>13100</v>
      </c>
      <c r="K20" s="190">
        <f>-3900+-10100</f>
        <v>-14000</v>
      </c>
      <c r="L20" s="190">
        <v>1500</v>
      </c>
      <c r="M20" s="85">
        <v>1200</v>
      </c>
      <c r="N20" s="85">
        <v>0</v>
      </c>
      <c r="O20" s="190">
        <f t="shared" si="6"/>
        <v>9301200</v>
      </c>
      <c r="P20" s="190">
        <f t="shared" si="7"/>
        <v>0</v>
      </c>
      <c r="Q20" s="190">
        <f t="shared" si="8"/>
        <v>9301200</v>
      </c>
      <c r="R20" s="190">
        <f t="shared" si="9"/>
        <v>10400</v>
      </c>
      <c r="S20" s="214">
        <f t="shared" si="10"/>
        <v>1.1193869203943686E-3</v>
      </c>
    </row>
    <row r="21" spans="1:20" x14ac:dyDescent="0.35">
      <c r="A21" s="70" t="s">
        <v>26</v>
      </c>
      <c r="B21" s="83">
        <f>SUM(B22:B23)</f>
        <v>6823000</v>
      </c>
      <c r="C21" s="84">
        <f t="shared" ref="C21:N21" si="11">SUM(C22:C23)</f>
        <v>0</v>
      </c>
      <c r="D21" s="85">
        <f t="shared" si="11"/>
        <v>6823000</v>
      </c>
      <c r="E21" s="84">
        <f t="shared" si="11"/>
        <v>0</v>
      </c>
      <c r="F21" s="190">
        <f t="shared" si="11"/>
        <v>0</v>
      </c>
      <c r="G21" s="190">
        <f t="shared" si="11"/>
        <v>12400</v>
      </c>
      <c r="H21" s="18">
        <f t="shared" si="11"/>
        <v>0</v>
      </c>
      <c r="I21" s="85">
        <f t="shared" si="11"/>
        <v>0</v>
      </c>
      <c r="J21" s="84">
        <f t="shared" si="11"/>
        <v>9300</v>
      </c>
      <c r="K21" s="190">
        <f t="shared" si="11"/>
        <v>-13100</v>
      </c>
      <c r="L21" s="190">
        <f t="shared" si="11"/>
        <v>6000</v>
      </c>
      <c r="M21" s="85">
        <f>SUM(M22:M23)</f>
        <v>200</v>
      </c>
      <c r="N21" s="85">
        <f t="shared" si="11"/>
        <v>0</v>
      </c>
      <c r="O21" s="190">
        <f>SUM(O22:O23)</f>
        <v>6837800</v>
      </c>
      <c r="P21" s="190">
        <f t="shared" ref="P21" si="12">SUM(P22:P23)</f>
        <v>0</v>
      </c>
      <c r="Q21" s="190">
        <f t="shared" ref="Q21" si="13">SUM(Q22:Q23)</f>
        <v>6837800</v>
      </c>
      <c r="R21" s="190">
        <f t="shared" ref="R21" si="14">SUM(R22:R23)</f>
        <v>14800</v>
      </c>
      <c r="S21" s="214">
        <f t="shared" si="10"/>
        <v>2.1691338121061117E-3</v>
      </c>
    </row>
    <row r="22" spans="1:20" x14ac:dyDescent="0.35">
      <c r="A22" s="93" t="s">
        <v>100</v>
      </c>
      <c r="B22" s="94">
        <v>712300</v>
      </c>
      <c r="C22" s="95">
        <v>0</v>
      </c>
      <c r="D22" s="96">
        <f t="shared" ref="D22" si="15">SUM(B22:C22)</f>
        <v>712300</v>
      </c>
      <c r="E22" s="95">
        <v>0</v>
      </c>
      <c r="F22" s="192">
        <v>0</v>
      </c>
      <c r="G22" s="192">
        <v>2700</v>
      </c>
      <c r="H22" s="20">
        <v>0</v>
      </c>
      <c r="I22" s="96">
        <v>0</v>
      </c>
      <c r="J22" s="95">
        <v>1800</v>
      </c>
      <c r="K22" s="192">
        <f>-100+900</f>
        <v>800</v>
      </c>
      <c r="L22" s="192">
        <v>3000</v>
      </c>
      <c r="M22" s="96">
        <v>0</v>
      </c>
      <c r="N22" s="96">
        <v>0</v>
      </c>
      <c r="O22" s="192">
        <f t="shared" si="6"/>
        <v>720600</v>
      </c>
      <c r="P22" s="192">
        <f t="shared" ref="P22" si="16">SUM(N22:N22)</f>
        <v>0</v>
      </c>
      <c r="Q22" s="192">
        <f t="shared" ref="Q22" si="17">O22+P22</f>
        <v>720600</v>
      </c>
      <c r="R22" s="192">
        <f>O22-B22</f>
        <v>8300</v>
      </c>
      <c r="S22" s="216">
        <f t="shared" si="10"/>
        <v>1.1652393654359118E-2</v>
      </c>
    </row>
    <row r="23" spans="1:20" x14ac:dyDescent="0.35">
      <c r="A23" s="97" t="s">
        <v>101</v>
      </c>
      <c r="B23" s="98">
        <v>6110700</v>
      </c>
      <c r="C23" s="99">
        <v>0</v>
      </c>
      <c r="D23" s="100">
        <f>SUM(B23:C23)</f>
        <v>6110700</v>
      </c>
      <c r="E23" s="99">
        <v>0</v>
      </c>
      <c r="F23" s="193">
        <v>0</v>
      </c>
      <c r="G23" s="193">
        <v>9700</v>
      </c>
      <c r="H23" s="21">
        <v>0</v>
      </c>
      <c r="I23" s="100">
        <v>0</v>
      </c>
      <c r="J23" s="99">
        <v>7500</v>
      </c>
      <c r="K23" s="193">
        <f>-3800+-10100</f>
        <v>-13900</v>
      </c>
      <c r="L23" s="193">
        <v>3000</v>
      </c>
      <c r="M23" s="100">
        <v>200</v>
      </c>
      <c r="N23" s="100">
        <v>0</v>
      </c>
      <c r="O23" s="193">
        <f t="shared" si="6"/>
        <v>6117200</v>
      </c>
      <c r="P23" s="193">
        <f t="shared" ref="P23" si="18">SUM(N23:N23)</f>
        <v>0</v>
      </c>
      <c r="Q23" s="193">
        <f>O23+P23</f>
        <v>6117200</v>
      </c>
      <c r="R23" s="193">
        <f>O23-B23</f>
        <v>6500</v>
      </c>
      <c r="S23" s="217">
        <f t="shared" si="10"/>
        <v>1.0637079221693096E-3</v>
      </c>
    </row>
    <row r="24" spans="1:20" x14ac:dyDescent="0.35">
      <c r="A24" s="70" t="s">
        <v>51</v>
      </c>
      <c r="B24" s="83">
        <v>3203900</v>
      </c>
      <c r="C24" s="84">
        <v>0</v>
      </c>
      <c r="D24" s="85">
        <f t="shared" si="5"/>
        <v>3203900</v>
      </c>
      <c r="E24" s="84">
        <v>0</v>
      </c>
      <c r="F24" s="190">
        <v>0</v>
      </c>
      <c r="G24" s="190">
        <v>5500</v>
      </c>
      <c r="H24" s="18">
        <v>0</v>
      </c>
      <c r="I24" s="85">
        <v>0</v>
      </c>
      <c r="J24" s="84">
        <v>14900</v>
      </c>
      <c r="K24" s="190">
        <f>-900+-3000</f>
        <v>-3900</v>
      </c>
      <c r="L24" s="190">
        <v>600</v>
      </c>
      <c r="M24" s="85">
        <v>0</v>
      </c>
      <c r="N24" s="85">
        <v>0</v>
      </c>
      <c r="O24" s="190">
        <f t="shared" si="6"/>
        <v>3221000</v>
      </c>
      <c r="P24" s="190">
        <f t="shared" si="7"/>
        <v>0</v>
      </c>
      <c r="Q24" s="190">
        <f t="shared" si="8"/>
        <v>3221000</v>
      </c>
      <c r="R24" s="190">
        <f>O24-B24</f>
        <v>17100</v>
      </c>
      <c r="S24" s="214">
        <f t="shared" si="10"/>
        <v>5.3372452323730453E-3</v>
      </c>
    </row>
    <row r="25" spans="1:20" x14ac:dyDescent="0.35">
      <c r="A25" s="101" t="s">
        <v>50</v>
      </c>
      <c r="B25" s="102">
        <v>3713700</v>
      </c>
      <c r="C25" s="103">
        <v>0</v>
      </c>
      <c r="D25" s="104">
        <f t="shared" si="5"/>
        <v>3713700</v>
      </c>
      <c r="E25" s="103">
        <v>0</v>
      </c>
      <c r="F25" s="194">
        <v>0</v>
      </c>
      <c r="G25" s="194">
        <v>6900</v>
      </c>
      <c r="H25" s="1">
        <v>0</v>
      </c>
      <c r="I25" s="104">
        <v>0</v>
      </c>
      <c r="J25" s="103">
        <v>12400</v>
      </c>
      <c r="K25" s="194">
        <f>-200+-2300</f>
        <v>-2500</v>
      </c>
      <c r="L25" s="194">
        <v>700</v>
      </c>
      <c r="M25" s="104">
        <v>0</v>
      </c>
      <c r="N25" s="104">
        <v>0</v>
      </c>
      <c r="O25" s="194">
        <f t="shared" si="6"/>
        <v>3731200</v>
      </c>
      <c r="P25" s="194">
        <f t="shared" si="7"/>
        <v>0</v>
      </c>
      <c r="Q25" s="194">
        <f t="shared" si="8"/>
        <v>3731200</v>
      </c>
      <c r="R25" s="194">
        <f>O25-B25</f>
        <v>17500</v>
      </c>
      <c r="S25" s="77">
        <f t="shared" si="10"/>
        <v>4.7122815520909064E-3</v>
      </c>
    </row>
    <row r="26" spans="1:20" x14ac:dyDescent="0.35">
      <c r="A26" s="87" t="s">
        <v>7</v>
      </c>
      <c r="B26" s="105">
        <f>SUM(B14:B25)-B21</f>
        <v>102503800</v>
      </c>
      <c r="C26" s="106">
        <f t="shared" ref="C26:R26" si="19">SUM(C14:C25)-C21</f>
        <v>0</v>
      </c>
      <c r="D26" s="107">
        <f t="shared" si="19"/>
        <v>102503800</v>
      </c>
      <c r="E26" s="106">
        <f t="shared" si="19"/>
        <v>0</v>
      </c>
      <c r="F26" s="184">
        <f t="shared" si="19"/>
        <v>0</v>
      </c>
      <c r="G26" s="184">
        <f t="shared" si="19"/>
        <v>197200</v>
      </c>
      <c r="H26" s="10">
        <f t="shared" si="19"/>
        <v>0</v>
      </c>
      <c r="I26" s="107">
        <f>SUM(I14:I25)-I21</f>
        <v>0</v>
      </c>
      <c r="J26" s="106">
        <f t="shared" si="19"/>
        <v>151600</v>
      </c>
      <c r="K26" s="184">
        <f t="shared" si="19"/>
        <v>-91200</v>
      </c>
      <c r="L26" s="184">
        <f t="shared" si="19"/>
        <v>17000</v>
      </c>
      <c r="M26" s="107">
        <f t="shared" si="19"/>
        <v>8000</v>
      </c>
      <c r="N26" s="107">
        <f t="shared" si="19"/>
        <v>0</v>
      </c>
      <c r="O26" s="184">
        <f t="shared" si="19"/>
        <v>102786400</v>
      </c>
      <c r="P26" s="184">
        <f t="shared" si="19"/>
        <v>0</v>
      </c>
      <c r="Q26" s="184">
        <f t="shared" si="19"/>
        <v>102786400</v>
      </c>
      <c r="R26" s="184">
        <f t="shared" si="19"/>
        <v>282600</v>
      </c>
      <c r="S26" s="218">
        <f t="shared" si="10"/>
        <v>2.7569709610765648E-3</v>
      </c>
      <c r="T26" s="14"/>
    </row>
    <row r="27" spans="1:20" x14ac:dyDescent="0.35">
      <c r="A27" s="87"/>
      <c r="B27" s="108"/>
      <c r="C27" s="109"/>
      <c r="D27" s="110"/>
      <c r="E27" s="109"/>
      <c r="F27" s="182"/>
      <c r="G27" s="182"/>
      <c r="H27" s="2"/>
      <c r="I27" s="110"/>
      <c r="J27" s="109"/>
      <c r="K27" s="182"/>
      <c r="L27" s="182"/>
      <c r="M27" s="110"/>
      <c r="N27" s="110"/>
      <c r="O27" s="182"/>
      <c r="P27" s="182"/>
      <c r="Q27" s="182"/>
      <c r="R27" s="182"/>
      <c r="S27" s="214"/>
    </row>
    <row r="28" spans="1:20" x14ac:dyDescent="0.35">
      <c r="A28" s="78" t="s">
        <v>27</v>
      </c>
      <c r="B28" s="108"/>
      <c r="C28" s="109"/>
      <c r="D28" s="110"/>
      <c r="E28" s="109"/>
      <c r="F28" s="182"/>
      <c r="G28" s="182"/>
      <c r="H28" s="2"/>
      <c r="I28" s="110"/>
      <c r="J28" s="109"/>
      <c r="K28" s="182"/>
      <c r="L28" s="182"/>
      <c r="M28" s="110"/>
      <c r="N28" s="110"/>
      <c r="O28" s="182"/>
      <c r="P28" s="182"/>
      <c r="Q28" s="182"/>
      <c r="R28" s="182"/>
      <c r="S28" s="214"/>
    </row>
    <row r="29" spans="1:20" x14ac:dyDescent="0.35">
      <c r="A29" s="70" t="s">
        <v>28</v>
      </c>
      <c r="B29" s="79">
        <v>6032100</v>
      </c>
      <c r="C29" s="80">
        <v>0</v>
      </c>
      <c r="D29" s="82">
        <f t="shared" ref="D29:D30" si="20">SUM(B29:C29)</f>
        <v>6032100</v>
      </c>
      <c r="E29" s="80">
        <v>0</v>
      </c>
      <c r="F29" s="186">
        <v>0</v>
      </c>
      <c r="G29" s="186">
        <v>39900</v>
      </c>
      <c r="H29" s="7">
        <v>0</v>
      </c>
      <c r="I29" s="82">
        <v>0</v>
      </c>
      <c r="J29" s="80">
        <v>6800</v>
      </c>
      <c r="K29" s="186">
        <f>-2600+-14400</f>
        <v>-17000</v>
      </c>
      <c r="L29" s="186">
        <v>2300</v>
      </c>
      <c r="M29" s="82">
        <v>100</v>
      </c>
      <c r="N29" s="82">
        <v>0</v>
      </c>
      <c r="O29" s="186">
        <f t="shared" ref="O29:O30" si="21">SUM(D29,E29:M29)</f>
        <v>6064200</v>
      </c>
      <c r="P29" s="186">
        <f t="shared" ref="P29:P30" si="22">SUM(N29:N29)</f>
        <v>0</v>
      </c>
      <c r="Q29" s="186">
        <f>O29+P29</f>
        <v>6064200</v>
      </c>
      <c r="R29" s="186">
        <f>O29-B29</f>
        <v>32100</v>
      </c>
      <c r="S29" s="214">
        <f t="shared" ref="S29:S34" si="23">(O29-B29)/B29</f>
        <v>5.3215298154871441E-3</v>
      </c>
    </row>
    <row r="30" spans="1:20" x14ac:dyDescent="0.35">
      <c r="A30" s="70" t="s">
        <v>29</v>
      </c>
      <c r="B30" s="83">
        <v>8444700</v>
      </c>
      <c r="C30" s="84">
        <v>0</v>
      </c>
      <c r="D30" s="85">
        <f t="shared" si="20"/>
        <v>8444700</v>
      </c>
      <c r="E30" s="84">
        <v>0</v>
      </c>
      <c r="F30" s="190">
        <v>0</v>
      </c>
      <c r="G30" s="190">
        <v>26300</v>
      </c>
      <c r="H30" s="18">
        <v>0</v>
      </c>
      <c r="I30" s="85">
        <v>4436000</v>
      </c>
      <c r="J30" s="84">
        <v>34100</v>
      </c>
      <c r="K30" s="190">
        <f>7800+-173400</f>
        <v>-165600</v>
      </c>
      <c r="L30" s="190">
        <v>100</v>
      </c>
      <c r="M30" s="85">
        <v>200</v>
      </c>
      <c r="N30" s="85">
        <f>1000000+984600</f>
        <v>1984600</v>
      </c>
      <c r="O30" s="190">
        <f t="shared" si="21"/>
        <v>12775800</v>
      </c>
      <c r="P30" s="190">
        <f t="shared" si="22"/>
        <v>1984600</v>
      </c>
      <c r="Q30" s="190">
        <f>O30+P30</f>
        <v>14760400</v>
      </c>
      <c r="R30" s="190">
        <f>O30-B30</f>
        <v>4331100</v>
      </c>
      <c r="S30" s="214">
        <f t="shared" si="23"/>
        <v>0.51287789974777076</v>
      </c>
    </row>
    <row r="31" spans="1:20" x14ac:dyDescent="0.35">
      <c r="A31" s="70" t="s">
        <v>30</v>
      </c>
      <c r="B31" s="83">
        <f>SUM(B32:B35)</f>
        <v>116177100</v>
      </c>
      <c r="C31" s="111">
        <f>SUM(C32:C35)</f>
        <v>-55000</v>
      </c>
      <c r="D31" s="85">
        <f>SUM(D32:D35)</f>
        <v>116122100</v>
      </c>
      <c r="E31" s="111">
        <f t="shared" ref="E31:R31" si="24">SUM(E32:E35)</f>
        <v>0</v>
      </c>
      <c r="F31" s="194">
        <f t="shared" si="24"/>
        <v>0</v>
      </c>
      <c r="G31" s="194">
        <f t="shared" si="24"/>
        <v>7800</v>
      </c>
      <c r="H31" s="1">
        <f>SUM(H32:H35)</f>
        <v>0</v>
      </c>
      <c r="I31" s="104">
        <f t="shared" si="24"/>
        <v>49300</v>
      </c>
      <c r="J31" s="111">
        <f t="shared" si="24"/>
        <v>18100</v>
      </c>
      <c r="K31" s="194">
        <f t="shared" si="24"/>
        <v>-100</v>
      </c>
      <c r="L31" s="194">
        <f t="shared" si="24"/>
        <v>-2000</v>
      </c>
      <c r="M31" s="104">
        <f t="shared" si="24"/>
        <v>0</v>
      </c>
      <c r="N31" s="104">
        <f t="shared" si="24"/>
        <v>6800</v>
      </c>
      <c r="O31" s="190">
        <f t="shared" si="24"/>
        <v>116195200</v>
      </c>
      <c r="P31" s="190">
        <f>SUM(P32:P35)</f>
        <v>6800</v>
      </c>
      <c r="Q31" s="190">
        <f t="shared" si="24"/>
        <v>116202000</v>
      </c>
      <c r="R31" s="190">
        <f t="shared" si="24"/>
        <v>18100</v>
      </c>
      <c r="S31" s="214">
        <f t="shared" si="23"/>
        <v>1.5579662429170637E-4</v>
      </c>
    </row>
    <row r="32" spans="1:20" x14ac:dyDescent="0.35">
      <c r="A32" s="93" t="s">
        <v>65</v>
      </c>
      <c r="B32" s="94">
        <v>113262500</v>
      </c>
      <c r="C32" s="95">
        <v>0</v>
      </c>
      <c r="D32" s="96">
        <f t="shared" ref="D32:D45" si="25">SUM(B32:C32)</f>
        <v>113262500</v>
      </c>
      <c r="E32" s="95">
        <v>0</v>
      </c>
      <c r="F32" s="192">
        <v>0</v>
      </c>
      <c r="G32" s="192">
        <v>0</v>
      </c>
      <c r="H32" s="20">
        <v>0</v>
      </c>
      <c r="I32" s="96">
        <v>0</v>
      </c>
      <c r="J32" s="95">
        <v>0</v>
      </c>
      <c r="K32" s="192">
        <v>0</v>
      </c>
      <c r="L32" s="192">
        <v>0</v>
      </c>
      <c r="M32" s="96">
        <v>0</v>
      </c>
      <c r="N32" s="96">
        <v>0</v>
      </c>
      <c r="O32" s="192">
        <f t="shared" ref="O32:O36" si="26">SUM(D32,E32:M32)</f>
        <v>113262500</v>
      </c>
      <c r="P32" s="192">
        <f t="shared" ref="P32:P34" si="27">SUM(N32:N32)</f>
        <v>0</v>
      </c>
      <c r="Q32" s="192">
        <f t="shared" ref="Q32:Q39" si="28">O32+P32</f>
        <v>113262500</v>
      </c>
      <c r="R32" s="192">
        <f>O32-B32</f>
        <v>0</v>
      </c>
      <c r="S32" s="216">
        <f t="shared" si="23"/>
        <v>0</v>
      </c>
    </row>
    <row r="33" spans="1:26" x14ac:dyDescent="0.35">
      <c r="A33" s="112" t="s">
        <v>31</v>
      </c>
      <c r="B33" s="113">
        <v>2136400</v>
      </c>
      <c r="C33" s="114">
        <v>-55000</v>
      </c>
      <c r="D33" s="115">
        <f t="shared" si="25"/>
        <v>2081400</v>
      </c>
      <c r="E33" s="114">
        <v>0</v>
      </c>
      <c r="F33" s="195">
        <v>0</v>
      </c>
      <c r="G33" s="195">
        <v>7800</v>
      </c>
      <c r="H33" s="22">
        <v>0</v>
      </c>
      <c r="I33" s="115">
        <f>41500+5000+2800</f>
        <v>49300</v>
      </c>
      <c r="J33" s="114">
        <f>300+17800</f>
        <v>18100</v>
      </c>
      <c r="K33" s="195">
        <f>3400+-3500</f>
        <v>-100</v>
      </c>
      <c r="L33" s="195">
        <v>-2000</v>
      </c>
      <c r="M33" s="115">
        <v>0</v>
      </c>
      <c r="N33" s="115">
        <v>6800</v>
      </c>
      <c r="O33" s="195">
        <f t="shared" si="26"/>
        <v>2154500</v>
      </c>
      <c r="P33" s="195">
        <f t="shared" si="27"/>
        <v>6800</v>
      </c>
      <c r="Q33" s="195">
        <f t="shared" si="28"/>
        <v>2161300</v>
      </c>
      <c r="R33" s="195">
        <f>O33-B33</f>
        <v>18100</v>
      </c>
      <c r="S33" s="219">
        <f t="shared" si="23"/>
        <v>8.4721962179367168E-3</v>
      </c>
    </row>
    <row r="34" spans="1:26" x14ac:dyDescent="0.35">
      <c r="A34" s="116" t="s">
        <v>60</v>
      </c>
      <c r="B34" s="98">
        <v>778200</v>
      </c>
      <c r="C34" s="99">
        <v>0</v>
      </c>
      <c r="D34" s="100">
        <f t="shared" si="25"/>
        <v>778200</v>
      </c>
      <c r="E34" s="99">
        <v>0</v>
      </c>
      <c r="F34" s="193">
        <v>0</v>
      </c>
      <c r="G34" s="193">
        <v>0</v>
      </c>
      <c r="H34" s="21">
        <v>0</v>
      </c>
      <c r="I34" s="100">
        <v>0</v>
      </c>
      <c r="J34" s="99">
        <v>0</v>
      </c>
      <c r="K34" s="193">
        <v>0</v>
      </c>
      <c r="L34" s="193">
        <v>0</v>
      </c>
      <c r="M34" s="100">
        <v>0</v>
      </c>
      <c r="N34" s="100">
        <v>0</v>
      </c>
      <c r="O34" s="193">
        <f t="shared" si="26"/>
        <v>778200</v>
      </c>
      <c r="P34" s="193">
        <f t="shared" si="27"/>
        <v>0</v>
      </c>
      <c r="Q34" s="193">
        <f t="shared" si="28"/>
        <v>778200</v>
      </c>
      <c r="R34" s="193">
        <f>O34-B34</f>
        <v>0</v>
      </c>
      <c r="S34" s="217">
        <f t="shared" si="23"/>
        <v>0</v>
      </c>
    </row>
    <row r="35" spans="1:26" s="23" customFormat="1" ht="18" hidden="1" customHeight="1" x14ac:dyDescent="0.35">
      <c r="A35" s="116" t="s">
        <v>75</v>
      </c>
      <c r="B35" s="98">
        <v>0</v>
      </c>
      <c r="C35" s="99">
        <v>0</v>
      </c>
      <c r="D35" s="100">
        <f t="shared" si="25"/>
        <v>0</v>
      </c>
      <c r="E35" s="99">
        <v>0</v>
      </c>
      <c r="F35" s="193">
        <v>0</v>
      </c>
      <c r="G35" s="193">
        <v>0</v>
      </c>
      <c r="H35" s="21">
        <v>0</v>
      </c>
      <c r="I35" s="100">
        <v>0</v>
      </c>
      <c r="J35" s="99"/>
      <c r="K35" s="193"/>
      <c r="L35" s="193"/>
      <c r="M35" s="100"/>
      <c r="N35" s="100">
        <v>0</v>
      </c>
      <c r="O35" s="193">
        <f t="shared" si="26"/>
        <v>0</v>
      </c>
      <c r="P35" s="193">
        <f>H35+N35</f>
        <v>0</v>
      </c>
      <c r="Q35" s="193">
        <f t="shared" si="28"/>
        <v>0</v>
      </c>
      <c r="R35" s="193">
        <f>O35-B35</f>
        <v>0</v>
      </c>
      <c r="S35" s="217" t="s">
        <v>68</v>
      </c>
      <c r="T35" s="4"/>
      <c r="U35" s="4"/>
      <c r="V35" s="4"/>
      <c r="W35" s="4"/>
      <c r="X35" s="4"/>
      <c r="Y35" s="4"/>
      <c r="Z35" s="4"/>
    </row>
    <row r="36" spans="1:26" x14ac:dyDescent="0.35">
      <c r="A36" s="86" t="s">
        <v>33</v>
      </c>
      <c r="B36" s="83">
        <v>2249900</v>
      </c>
      <c r="C36" s="84">
        <v>0</v>
      </c>
      <c r="D36" s="85">
        <f>SUM(B36:C36)</f>
        <v>2249900</v>
      </c>
      <c r="E36" s="84">
        <v>0</v>
      </c>
      <c r="F36" s="190">
        <v>0</v>
      </c>
      <c r="G36" s="190">
        <v>0</v>
      </c>
      <c r="H36" s="18">
        <v>0</v>
      </c>
      <c r="I36" s="85">
        <v>0</v>
      </c>
      <c r="J36" s="84">
        <v>0</v>
      </c>
      <c r="K36" s="190">
        <v>0</v>
      </c>
      <c r="L36" s="190">
        <v>0</v>
      </c>
      <c r="M36" s="85">
        <v>0</v>
      </c>
      <c r="N36" s="85">
        <v>0</v>
      </c>
      <c r="O36" s="190">
        <f t="shared" si="26"/>
        <v>2249900</v>
      </c>
      <c r="P36" s="190">
        <f t="shared" ref="P36" si="29">SUM(N36:N36)</f>
        <v>0</v>
      </c>
      <c r="Q36" s="190">
        <f>O36+P36</f>
        <v>2249900</v>
      </c>
      <c r="R36" s="190">
        <f>O36-B36</f>
        <v>0</v>
      </c>
      <c r="S36" s="214">
        <f t="shared" ref="S36:S49" si="30">(O36-B36)/B36</f>
        <v>0</v>
      </c>
    </row>
    <row r="37" spans="1:26" x14ac:dyDescent="0.35">
      <c r="A37" s="74" t="s">
        <v>32</v>
      </c>
      <c r="B37" s="102">
        <f>SUM(B38:B48)</f>
        <v>5757200</v>
      </c>
      <c r="C37" s="103">
        <f t="shared" ref="C37:Q37" si="31">SUM(C38:C48)</f>
        <v>-55000</v>
      </c>
      <c r="D37" s="104">
        <f t="shared" si="31"/>
        <v>5702200</v>
      </c>
      <c r="E37" s="103">
        <f t="shared" si="31"/>
        <v>0</v>
      </c>
      <c r="F37" s="194">
        <f t="shared" si="31"/>
        <v>0</v>
      </c>
      <c r="G37" s="194">
        <f t="shared" si="31"/>
        <v>6700</v>
      </c>
      <c r="H37" s="1">
        <f t="shared" si="31"/>
        <v>0</v>
      </c>
      <c r="I37" s="104">
        <f t="shared" si="31"/>
        <v>-123400</v>
      </c>
      <c r="J37" s="103">
        <f t="shared" si="31"/>
        <v>2300</v>
      </c>
      <c r="K37" s="194">
        <f t="shared" si="31"/>
        <v>1700</v>
      </c>
      <c r="L37" s="194">
        <f t="shared" si="31"/>
        <v>-1000</v>
      </c>
      <c r="M37" s="104">
        <f t="shared" si="31"/>
        <v>0</v>
      </c>
      <c r="N37" s="104">
        <f t="shared" si="31"/>
        <v>4300</v>
      </c>
      <c r="O37" s="194">
        <f t="shared" si="31"/>
        <v>5588500</v>
      </c>
      <c r="P37" s="194">
        <f t="shared" si="31"/>
        <v>4300</v>
      </c>
      <c r="Q37" s="194">
        <f t="shared" si="31"/>
        <v>5592800</v>
      </c>
      <c r="R37" s="194">
        <f>SUM(R38:R48)</f>
        <v>-168700</v>
      </c>
      <c r="S37" s="77">
        <f t="shared" si="30"/>
        <v>-2.9302438685472103E-2</v>
      </c>
    </row>
    <row r="38" spans="1:26" s="16" customFormat="1" x14ac:dyDescent="0.35">
      <c r="A38" s="93" t="s">
        <v>81</v>
      </c>
      <c r="B38" s="94">
        <v>3879800</v>
      </c>
      <c r="C38" s="95">
        <v>-55000</v>
      </c>
      <c r="D38" s="96">
        <f t="shared" si="25"/>
        <v>3824800</v>
      </c>
      <c r="E38" s="95">
        <v>0</v>
      </c>
      <c r="F38" s="192">
        <v>0</v>
      </c>
      <c r="G38" s="192">
        <v>6700</v>
      </c>
      <c r="H38" s="20">
        <v>0</v>
      </c>
      <c r="I38" s="96">
        <f>-151200+19100+7000+1700</f>
        <v>-123400</v>
      </c>
      <c r="J38" s="95">
        <f>-14700+400+16600</f>
        <v>2300</v>
      </c>
      <c r="K38" s="192">
        <v>1700</v>
      </c>
      <c r="L38" s="192">
        <v>-1000</v>
      </c>
      <c r="M38" s="96">
        <v>0</v>
      </c>
      <c r="N38" s="96">
        <v>4300</v>
      </c>
      <c r="O38" s="192">
        <f t="shared" ref="O38:O48" si="32">SUM(D38,E38:M38)</f>
        <v>3711100</v>
      </c>
      <c r="P38" s="192">
        <f t="shared" ref="P38:P45" si="33">SUM(N38:N38)</f>
        <v>4300</v>
      </c>
      <c r="Q38" s="192">
        <f t="shared" si="28"/>
        <v>3715400</v>
      </c>
      <c r="R38" s="192">
        <f t="shared" ref="R38:R48" si="34">O38-B38</f>
        <v>-168700</v>
      </c>
      <c r="S38" s="219">
        <f t="shared" si="30"/>
        <v>-4.348162276406E-2</v>
      </c>
    </row>
    <row r="39" spans="1:26" s="16" customFormat="1" x14ac:dyDescent="0.35">
      <c r="A39" s="112" t="s">
        <v>93</v>
      </c>
      <c r="B39" s="113">
        <v>105000</v>
      </c>
      <c r="C39" s="114">
        <v>0</v>
      </c>
      <c r="D39" s="115">
        <f t="shared" si="25"/>
        <v>105000</v>
      </c>
      <c r="E39" s="114">
        <v>0</v>
      </c>
      <c r="F39" s="195">
        <v>0</v>
      </c>
      <c r="G39" s="195">
        <v>0</v>
      </c>
      <c r="H39" s="22">
        <v>0</v>
      </c>
      <c r="I39" s="115">
        <v>0</v>
      </c>
      <c r="J39" s="114">
        <v>0</v>
      </c>
      <c r="K39" s="195">
        <v>0</v>
      </c>
      <c r="L39" s="195">
        <v>0</v>
      </c>
      <c r="M39" s="115">
        <v>0</v>
      </c>
      <c r="N39" s="115">
        <v>0</v>
      </c>
      <c r="O39" s="195">
        <f t="shared" si="32"/>
        <v>105000</v>
      </c>
      <c r="P39" s="195">
        <f t="shared" si="33"/>
        <v>0</v>
      </c>
      <c r="Q39" s="195">
        <f t="shared" si="28"/>
        <v>105000</v>
      </c>
      <c r="R39" s="195">
        <f t="shared" si="34"/>
        <v>0</v>
      </c>
      <c r="S39" s="219">
        <f t="shared" si="30"/>
        <v>0</v>
      </c>
    </row>
    <row r="40" spans="1:26" s="16" customFormat="1" x14ac:dyDescent="0.35">
      <c r="A40" s="112" t="s">
        <v>88</v>
      </c>
      <c r="B40" s="113">
        <v>100000</v>
      </c>
      <c r="C40" s="114">
        <v>0</v>
      </c>
      <c r="D40" s="115">
        <f t="shared" si="25"/>
        <v>100000</v>
      </c>
      <c r="E40" s="114">
        <v>0</v>
      </c>
      <c r="F40" s="195">
        <v>0</v>
      </c>
      <c r="G40" s="195">
        <v>0</v>
      </c>
      <c r="H40" s="22">
        <v>0</v>
      </c>
      <c r="I40" s="115">
        <v>0</v>
      </c>
      <c r="J40" s="114">
        <v>0</v>
      </c>
      <c r="K40" s="195">
        <v>0</v>
      </c>
      <c r="L40" s="195">
        <v>0</v>
      </c>
      <c r="M40" s="115">
        <v>0</v>
      </c>
      <c r="N40" s="115">
        <v>0</v>
      </c>
      <c r="O40" s="195">
        <f t="shared" si="32"/>
        <v>100000</v>
      </c>
      <c r="P40" s="195">
        <f t="shared" ref="P40" si="35">SUM(N40:N40)</f>
        <v>0</v>
      </c>
      <c r="Q40" s="195">
        <f t="shared" ref="Q40" si="36">O40+P40</f>
        <v>100000</v>
      </c>
      <c r="R40" s="195">
        <f t="shared" si="34"/>
        <v>0</v>
      </c>
      <c r="S40" s="219">
        <f t="shared" si="30"/>
        <v>0</v>
      </c>
    </row>
    <row r="41" spans="1:26" s="16" customFormat="1" x14ac:dyDescent="0.35">
      <c r="A41" s="112" t="s">
        <v>89</v>
      </c>
      <c r="B41" s="113">
        <v>120600</v>
      </c>
      <c r="C41" s="114">
        <v>0</v>
      </c>
      <c r="D41" s="115">
        <f t="shared" si="25"/>
        <v>120600</v>
      </c>
      <c r="E41" s="114">
        <v>0</v>
      </c>
      <c r="F41" s="195">
        <v>0</v>
      </c>
      <c r="G41" s="195">
        <v>0</v>
      </c>
      <c r="H41" s="22">
        <v>0</v>
      </c>
      <c r="I41" s="115">
        <v>0</v>
      </c>
      <c r="J41" s="114">
        <v>0</v>
      </c>
      <c r="K41" s="195">
        <v>0</v>
      </c>
      <c r="L41" s="195">
        <v>0</v>
      </c>
      <c r="M41" s="115">
        <v>0</v>
      </c>
      <c r="N41" s="115">
        <v>0</v>
      </c>
      <c r="O41" s="195">
        <f t="shared" si="32"/>
        <v>120600</v>
      </c>
      <c r="P41" s="195">
        <f t="shared" ref="P41" si="37">SUM(N41:N41)</f>
        <v>0</v>
      </c>
      <c r="Q41" s="195">
        <f t="shared" ref="Q41" si="38">O41+P41</f>
        <v>120600</v>
      </c>
      <c r="R41" s="195">
        <f t="shared" si="34"/>
        <v>0</v>
      </c>
      <c r="S41" s="219">
        <f t="shared" si="30"/>
        <v>0</v>
      </c>
    </row>
    <row r="42" spans="1:26" s="16" customFormat="1" x14ac:dyDescent="0.35">
      <c r="A42" s="112" t="s">
        <v>90</v>
      </c>
      <c r="B42" s="113">
        <v>83900</v>
      </c>
      <c r="C42" s="114">
        <v>0</v>
      </c>
      <c r="D42" s="115">
        <f t="shared" si="25"/>
        <v>83900</v>
      </c>
      <c r="E42" s="114">
        <v>0</v>
      </c>
      <c r="F42" s="195">
        <v>0</v>
      </c>
      <c r="G42" s="195">
        <v>0</v>
      </c>
      <c r="H42" s="22">
        <v>0</v>
      </c>
      <c r="I42" s="115">
        <v>0</v>
      </c>
      <c r="J42" s="114">
        <v>0</v>
      </c>
      <c r="K42" s="195">
        <v>0</v>
      </c>
      <c r="L42" s="195">
        <v>0</v>
      </c>
      <c r="M42" s="115">
        <v>0</v>
      </c>
      <c r="N42" s="115">
        <v>0</v>
      </c>
      <c r="O42" s="195">
        <f t="shared" si="32"/>
        <v>83900</v>
      </c>
      <c r="P42" s="195">
        <f t="shared" si="33"/>
        <v>0</v>
      </c>
      <c r="Q42" s="195">
        <f t="shared" ref="Q42:Q45" si="39">O42+P42</f>
        <v>83900</v>
      </c>
      <c r="R42" s="195">
        <f t="shared" si="34"/>
        <v>0</v>
      </c>
      <c r="S42" s="219">
        <f t="shared" si="30"/>
        <v>0</v>
      </c>
    </row>
    <row r="43" spans="1:26" s="16" customFormat="1" x14ac:dyDescent="0.35">
      <c r="A43" s="112" t="s">
        <v>82</v>
      </c>
      <c r="B43" s="113">
        <v>416400</v>
      </c>
      <c r="C43" s="114">
        <v>0</v>
      </c>
      <c r="D43" s="115">
        <f t="shared" si="25"/>
        <v>416400</v>
      </c>
      <c r="E43" s="114">
        <v>0</v>
      </c>
      <c r="F43" s="195">
        <v>0</v>
      </c>
      <c r="G43" s="195">
        <v>0</v>
      </c>
      <c r="H43" s="22">
        <v>0</v>
      </c>
      <c r="I43" s="115">
        <v>0</v>
      </c>
      <c r="J43" s="114">
        <v>0</v>
      </c>
      <c r="K43" s="195">
        <v>0</v>
      </c>
      <c r="L43" s="195">
        <v>0</v>
      </c>
      <c r="M43" s="115">
        <v>0</v>
      </c>
      <c r="N43" s="115">
        <v>0</v>
      </c>
      <c r="O43" s="195">
        <f t="shared" si="32"/>
        <v>416400</v>
      </c>
      <c r="P43" s="195">
        <f t="shared" si="33"/>
        <v>0</v>
      </c>
      <c r="Q43" s="195">
        <f t="shared" si="39"/>
        <v>416400</v>
      </c>
      <c r="R43" s="195">
        <f t="shared" si="34"/>
        <v>0</v>
      </c>
      <c r="S43" s="219">
        <f t="shared" si="30"/>
        <v>0</v>
      </c>
    </row>
    <row r="44" spans="1:26" x14ac:dyDescent="0.35">
      <c r="A44" s="112" t="s">
        <v>94</v>
      </c>
      <c r="B44" s="113">
        <v>245200</v>
      </c>
      <c r="C44" s="114">
        <v>0</v>
      </c>
      <c r="D44" s="115">
        <f t="shared" si="25"/>
        <v>245200</v>
      </c>
      <c r="E44" s="114">
        <v>0</v>
      </c>
      <c r="F44" s="195">
        <v>0</v>
      </c>
      <c r="G44" s="195">
        <v>0</v>
      </c>
      <c r="H44" s="22">
        <v>0</v>
      </c>
      <c r="I44" s="115">
        <v>0</v>
      </c>
      <c r="J44" s="114">
        <v>0</v>
      </c>
      <c r="K44" s="195">
        <v>0</v>
      </c>
      <c r="L44" s="195">
        <v>0</v>
      </c>
      <c r="M44" s="115">
        <v>0</v>
      </c>
      <c r="N44" s="115">
        <v>0</v>
      </c>
      <c r="O44" s="195">
        <f t="shared" si="32"/>
        <v>245200</v>
      </c>
      <c r="P44" s="195">
        <f t="shared" si="33"/>
        <v>0</v>
      </c>
      <c r="Q44" s="195">
        <f t="shared" si="39"/>
        <v>245200</v>
      </c>
      <c r="R44" s="195">
        <f t="shared" si="34"/>
        <v>0</v>
      </c>
      <c r="S44" s="219">
        <f t="shared" si="30"/>
        <v>0</v>
      </c>
    </row>
    <row r="45" spans="1:26" x14ac:dyDescent="0.35">
      <c r="A45" s="112" t="s">
        <v>79</v>
      </c>
      <c r="B45" s="113">
        <v>200000</v>
      </c>
      <c r="C45" s="114">
        <v>0</v>
      </c>
      <c r="D45" s="115">
        <f t="shared" si="25"/>
        <v>200000</v>
      </c>
      <c r="E45" s="114">
        <v>0</v>
      </c>
      <c r="F45" s="195">
        <v>0</v>
      </c>
      <c r="G45" s="195">
        <v>0</v>
      </c>
      <c r="H45" s="22">
        <v>0</v>
      </c>
      <c r="I45" s="115">
        <v>0</v>
      </c>
      <c r="J45" s="114">
        <v>0</v>
      </c>
      <c r="K45" s="195">
        <v>0</v>
      </c>
      <c r="L45" s="195">
        <v>0</v>
      </c>
      <c r="M45" s="115">
        <v>0</v>
      </c>
      <c r="N45" s="115">
        <v>0</v>
      </c>
      <c r="O45" s="195">
        <f t="shared" si="32"/>
        <v>200000</v>
      </c>
      <c r="P45" s="195">
        <f t="shared" si="33"/>
        <v>0</v>
      </c>
      <c r="Q45" s="195">
        <f t="shared" si="39"/>
        <v>200000</v>
      </c>
      <c r="R45" s="195">
        <f t="shared" si="34"/>
        <v>0</v>
      </c>
      <c r="S45" s="219">
        <f t="shared" si="30"/>
        <v>0</v>
      </c>
    </row>
    <row r="46" spans="1:26" ht="18" customHeight="1" x14ac:dyDescent="0.35">
      <c r="A46" s="112" t="s">
        <v>80</v>
      </c>
      <c r="B46" s="113">
        <v>96300</v>
      </c>
      <c r="C46" s="114">
        <v>0</v>
      </c>
      <c r="D46" s="115">
        <f>SUM(B46:C46)</f>
        <v>96300</v>
      </c>
      <c r="E46" s="114">
        <v>0</v>
      </c>
      <c r="F46" s="195">
        <v>0</v>
      </c>
      <c r="G46" s="195">
        <v>0</v>
      </c>
      <c r="H46" s="22">
        <v>0</v>
      </c>
      <c r="I46" s="115">
        <v>0</v>
      </c>
      <c r="J46" s="114">
        <v>0</v>
      </c>
      <c r="K46" s="195">
        <v>0</v>
      </c>
      <c r="L46" s="195">
        <v>0</v>
      </c>
      <c r="M46" s="115">
        <v>0</v>
      </c>
      <c r="N46" s="115">
        <v>0</v>
      </c>
      <c r="O46" s="195">
        <f t="shared" si="32"/>
        <v>96300</v>
      </c>
      <c r="P46" s="195">
        <f>H46+N46</f>
        <v>0</v>
      </c>
      <c r="Q46" s="195">
        <f>O46+P46</f>
        <v>96300</v>
      </c>
      <c r="R46" s="195">
        <f t="shared" si="34"/>
        <v>0</v>
      </c>
      <c r="S46" s="219">
        <f t="shared" si="30"/>
        <v>0</v>
      </c>
    </row>
    <row r="47" spans="1:26" ht="18" customHeight="1" x14ac:dyDescent="0.35">
      <c r="A47" s="112" t="s">
        <v>98</v>
      </c>
      <c r="B47" s="113">
        <v>84000</v>
      </c>
      <c r="C47" s="114">
        <v>0</v>
      </c>
      <c r="D47" s="115">
        <f>SUM(B47:C47)</f>
        <v>84000</v>
      </c>
      <c r="E47" s="114">
        <v>0</v>
      </c>
      <c r="F47" s="195">
        <v>0</v>
      </c>
      <c r="G47" s="195">
        <v>0</v>
      </c>
      <c r="H47" s="22">
        <v>0</v>
      </c>
      <c r="I47" s="115">
        <v>0</v>
      </c>
      <c r="J47" s="114">
        <v>0</v>
      </c>
      <c r="K47" s="195">
        <v>0</v>
      </c>
      <c r="L47" s="195">
        <v>0</v>
      </c>
      <c r="M47" s="115">
        <v>0</v>
      </c>
      <c r="N47" s="115">
        <v>0</v>
      </c>
      <c r="O47" s="195">
        <f t="shared" si="32"/>
        <v>84000</v>
      </c>
      <c r="P47" s="195">
        <f>H47+N47</f>
        <v>0</v>
      </c>
      <c r="Q47" s="195">
        <f>O47+P47</f>
        <v>84000</v>
      </c>
      <c r="R47" s="195">
        <f t="shared" si="34"/>
        <v>0</v>
      </c>
      <c r="S47" s="219">
        <f t="shared" si="30"/>
        <v>0</v>
      </c>
    </row>
    <row r="48" spans="1:26" s="16" customFormat="1" x14ac:dyDescent="0.35">
      <c r="A48" s="112" t="s">
        <v>104</v>
      </c>
      <c r="B48" s="113">
        <v>426000</v>
      </c>
      <c r="C48" s="114">
        <v>0</v>
      </c>
      <c r="D48" s="115">
        <f>SUM(B48:C48)</f>
        <v>426000</v>
      </c>
      <c r="E48" s="114">
        <v>0</v>
      </c>
      <c r="F48" s="195">
        <v>0</v>
      </c>
      <c r="G48" s="195">
        <v>0</v>
      </c>
      <c r="H48" s="22">
        <v>0</v>
      </c>
      <c r="I48" s="115">
        <v>0</v>
      </c>
      <c r="J48" s="114">
        <v>0</v>
      </c>
      <c r="K48" s="195">
        <v>0</v>
      </c>
      <c r="L48" s="195">
        <v>0</v>
      </c>
      <c r="M48" s="115">
        <v>0</v>
      </c>
      <c r="N48" s="115">
        <v>0</v>
      </c>
      <c r="O48" s="195">
        <f t="shared" si="32"/>
        <v>426000</v>
      </c>
      <c r="P48" s="195">
        <f t="shared" ref="P48" si="40">SUM(N48:N48)</f>
        <v>0</v>
      </c>
      <c r="Q48" s="195">
        <f t="shared" ref="Q48" si="41">O48+P48</f>
        <v>426000</v>
      </c>
      <c r="R48" s="195">
        <f t="shared" si="34"/>
        <v>0</v>
      </c>
      <c r="S48" s="219">
        <f t="shared" si="30"/>
        <v>0</v>
      </c>
    </row>
    <row r="49" spans="1:20" x14ac:dyDescent="0.35">
      <c r="A49" s="117" t="s">
        <v>7</v>
      </c>
      <c r="B49" s="88">
        <f t="shared" ref="B49:R49" si="42">SUM(B29:B31,B36:B37)</f>
        <v>138661000</v>
      </c>
      <c r="C49" s="89">
        <f t="shared" si="42"/>
        <v>-110000</v>
      </c>
      <c r="D49" s="90">
        <f t="shared" si="42"/>
        <v>138551000</v>
      </c>
      <c r="E49" s="89">
        <f t="shared" si="42"/>
        <v>0</v>
      </c>
      <c r="F49" s="191">
        <f t="shared" si="42"/>
        <v>0</v>
      </c>
      <c r="G49" s="191">
        <f t="shared" si="42"/>
        <v>80700</v>
      </c>
      <c r="H49" s="19">
        <f t="shared" si="42"/>
        <v>0</v>
      </c>
      <c r="I49" s="90">
        <f t="shared" si="42"/>
        <v>4361900</v>
      </c>
      <c r="J49" s="89">
        <f t="shared" si="42"/>
        <v>61300</v>
      </c>
      <c r="K49" s="191">
        <f t="shared" si="42"/>
        <v>-181000</v>
      </c>
      <c r="L49" s="191">
        <f t="shared" si="42"/>
        <v>-600</v>
      </c>
      <c r="M49" s="90">
        <f t="shared" si="42"/>
        <v>300</v>
      </c>
      <c r="N49" s="90">
        <f>SUM(N29:N31,N36:N37)</f>
        <v>1995700</v>
      </c>
      <c r="O49" s="191">
        <f t="shared" si="42"/>
        <v>142873600</v>
      </c>
      <c r="P49" s="191">
        <f t="shared" si="42"/>
        <v>1995700</v>
      </c>
      <c r="Q49" s="191">
        <f t="shared" si="42"/>
        <v>144869300</v>
      </c>
      <c r="R49" s="191">
        <f t="shared" si="42"/>
        <v>4212600</v>
      </c>
      <c r="S49" s="215">
        <f t="shared" si="30"/>
        <v>3.0380568436690923E-2</v>
      </c>
      <c r="T49" s="14"/>
    </row>
    <row r="50" spans="1:20" x14ac:dyDescent="0.35">
      <c r="A50" s="70"/>
      <c r="B50" s="91"/>
      <c r="C50" s="70"/>
      <c r="D50" s="85"/>
      <c r="E50" s="70"/>
      <c r="F50" s="185"/>
      <c r="G50" s="185"/>
      <c r="H50" s="11"/>
      <c r="I50" s="92"/>
      <c r="J50" s="70"/>
      <c r="K50" s="185"/>
      <c r="L50" s="185"/>
      <c r="M50" s="92"/>
      <c r="N50" s="92"/>
      <c r="O50" s="185"/>
      <c r="P50" s="185"/>
      <c r="Q50" s="185"/>
      <c r="R50" s="185"/>
      <c r="S50" s="214"/>
    </row>
    <row r="51" spans="1:20" x14ac:dyDescent="0.35">
      <c r="A51" s="118" t="s">
        <v>34</v>
      </c>
      <c r="B51" s="119">
        <f t="shared" ref="B51:R51" si="43">B11+B26+B49</f>
        <v>468718800</v>
      </c>
      <c r="C51" s="120">
        <f t="shared" si="43"/>
        <v>-110000</v>
      </c>
      <c r="D51" s="121">
        <f t="shared" si="43"/>
        <v>468608800</v>
      </c>
      <c r="E51" s="120">
        <f t="shared" si="43"/>
        <v>0</v>
      </c>
      <c r="F51" s="196">
        <f t="shared" si="43"/>
        <v>0</v>
      </c>
      <c r="G51" s="196">
        <f t="shared" si="43"/>
        <v>780200</v>
      </c>
      <c r="H51" s="24">
        <f t="shared" si="43"/>
        <v>0</v>
      </c>
      <c r="I51" s="121">
        <f t="shared" si="43"/>
        <v>5457400</v>
      </c>
      <c r="J51" s="120">
        <f t="shared" si="43"/>
        <v>577300</v>
      </c>
      <c r="K51" s="196">
        <f t="shared" si="43"/>
        <v>-217300</v>
      </c>
      <c r="L51" s="196">
        <f t="shared" si="43"/>
        <v>12300</v>
      </c>
      <c r="M51" s="121">
        <f t="shared" si="43"/>
        <v>22600</v>
      </c>
      <c r="N51" s="121">
        <f t="shared" si="43"/>
        <v>1995700</v>
      </c>
      <c r="O51" s="196">
        <f t="shared" si="43"/>
        <v>475241300</v>
      </c>
      <c r="P51" s="196">
        <f t="shared" si="43"/>
        <v>1995700</v>
      </c>
      <c r="Q51" s="196">
        <f t="shared" si="43"/>
        <v>477237000</v>
      </c>
      <c r="R51" s="196">
        <f t="shared" si="43"/>
        <v>6522500</v>
      </c>
      <c r="S51" s="220">
        <f>(O51-B51)/B51</f>
        <v>1.3915592888529327E-2</v>
      </c>
      <c r="T51" s="14"/>
    </row>
    <row r="52" spans="1:20" x14ac:dyDescent="0.35">
      <c r="A52" s="70"/>
      <c r="B52" s="88"/>
      <c r="C52" s="122"/>
      <c r="D52" s="90"/>
      <c r="E52" s="122"/>
      <c r="F52" s="191"/>
      <c r="G52" s="191"/>
      <c r="H52" s="19"/>
      <c r="I52" s="90"/>
      <c r="J52" s="122"/>
      <c r="K52" s="191"/>
      <c r="L52" s="191"/>
      <c r="M52" s="90"/>
      <c r="N52" s="90"/>
      <c r="O52" s="191"/>
      <c r="P52" s="191"/>
      <c r="Q52" s="191"/>
      <c r="R52" s="191"/>
      <c r="S52" s="215"/>
    </row>
    <row r="53" spans="1:20" x14ac:dyDescent="0.35">
      <c r="A53" s="87" t="s">
        <v>35</v>
      </c>
      <c r="B53" s="105">
        <f>B51+'2020-21 Form Distr'!B27</f>
        <v>1631018300</v>
      </c>
      <c r="C53" s="106">
        <f>C51</f>
        <v>-110000</v>
      </c>
      <c r="D53" s="107">
        <f>D51+'2020-21 Form Distr'!D27</f>
        <v>1630908300</v>
      </c>
      <c r="E53" s="106">
        <f>E51+'2020-21 Form Distr'!E27</f>
        <v>0</v>
      </c>
      <c r="F53" s="184">
        <f>F51+'2020-21 Form Distr'!F27</f>
        <v>0</v>
      </c>
      <c r="G53" s="184">
        <f>G51+'2020-21 Form Distr'!G27</f>
        <v>3616700</v>
      </c>
      <c r="H53" s="10">
        <f>H51+'2020-21 Form Distr'!H27</f>
        <v>0</v>
      </c>
      <c r="I53" s="107">
        <f>I51+'2020-21 Form Distr'!I27</f>
        <v>5457400</v>
      </c>
      <c r="J53" s="106">
        <f>J51+'2020-21 Form Distr'!J27</f>
        <v>3265300</v>
      </c>
      <c r="K53" s="184">
        <f>K51+'2020-21 Form Distr'!K27</f>
        <v>174600</v>
      </c>
      <c r="L53" s="184">
        <f>L51+'2020-21 Form Distr'!L27</f>
        <v>-130700</v>
      </c>
      <c r="M53" s="107">
        <f>M51+'2020-21 Form Distr'!M27</f>
        <v>171900</v>
      </c>
      <c r="N53" s="107">
        <f>N51+'2020-21 Form Distr'!N27</f>
        <v>3695700</v>
      </c>
      <c r="O53" s="184">
        <f>O51+'2020-21 Form Distr'!O27</f>
        <v>1643463500</v>
      </c>
      <c r="P53" s="184">
        <f>P51+'2020-21 Form Distr'!P27</f>
        <v>3695700</v>
      </c>
      <c r="Q53" s="184">
        <f>Q51+'2020-21 Form Distr'!Q27</f>
        <v>1647159200</v>
      </c>
      <c r="R53" s="184">
        <f>R51+'2020-21 Form Distr'!R27</f>
        <v>12445200</v>
      </c>
      <c r="S53" s="218">
        <f>(O53-B53)/B53</f>
        <v>7.6303251778352208E-3</v>
      </c>
      <c r="T53" s="14"/>
    </row>
    <row r="54" spans="1:20" x14ac:dyDescent="0.35">
      <c r="A54" s="70"/>
      <c r="B54" s="91"/>
      <c r="C54" s="70"/>
      <c r="D54" s="92"/>
      <c r="E54" s="70"/>
      <c r="F54" s="185"/>
      <c r="G54" s="185"/>
      <c r="H54" s="11"/>
      <c r="I54" s="92"/>
      <c r="J54" s="70"/>
      <c r="K54" s="185"/>
      <c r="L54" s="185"/>
      <c r="M54" s="92"/>
      <c r="N54" s="92"/>
      <c r="O54" s="185"/>
      <c r="P54" s="185"/>
      <c r="Q54" s="185"/>
      <c r="R54" s="185"/>
      <c r="S54" s="214"/>
    </row>
    <row r="55" spans="1:20" x14ac:dyDescent="0.35">
      <c r="A55" s="78" t="s">
        <v>36</v>
      </c>
      <c r="B55" s="91"/>
      <c r="C55" s="70"/>
      <c r="D55" s="92"/>
      <c r="E55" s="70"/>
      <c r="F55" s="185"/>
      <c r="G55" s="185"/>
      <c r="H55" s="11"/>
      <c r="I55" s="92"/>
      <c r="J55" s="70"/>
      <c r="K55" s="185"/>
      <c r="L55" s="185"/>
      <c r="M55" s="92"/>
      <c r="N55" s="92"/>
      <c r="O55" s="185"/>
      <c r="P55" s="185"/>
      <c r="Q55" s="185"/>
      <c r="R55" s="185"/>
      <c r="S55" s="214"/>
    </row>
    <row r="56" spans="1:20" x14ac:dyDescent="0.35">
      <c r="A56" s="70" t="s">
        <v>37</v>
      </c>
      <c r="B56" s="79">
        <v>18363900</v>
      </c>
      <c r="C56" s="80">
        <v>0</v>
      </c>
      <c r="D56" s="82">
        <f t="shared" ref="D56:D76" si="44">SUM(B56:C56)</f>
        <v>18363900</v>
      </c>
      <c r="E56" s="80">
        <v>0</v>
      </c>
      <c r="F56" s="186">
        <v>0</v>
      </c>
      <c r="G56" s="186">
        <v>0</v>
      </c>
      <c r="H56" s="7">
        <v>0</v>
      </c>
      <c r="I56" s="82">
        <v>0</v>
      </c>
      <c r="J56" s="80">
        <v>15400</v>
      </c>
      <c r="K56" s="186">
        <v>0</v>
      </c>
      <c r="L56" s="186">
        <v>0</v>
      </c>
      <c r="M56" s="82">
        <v>0</v>
      </c>
      <c r="N56" s="82">
        <v>0</v>
      </c>
      <c r="O56" s="186">
        <f t="shared" ref="O56:O61" si="45">SUM(D56,E56:M56)</f>
        <v>18379300</v>
      </c>
      <c r="P56" s="186">
        <f t="shared" ref="P56:P61" si="46">SUM(N56:N56)</f>
        <v>0</v>
      </c>
      <c r="Q56" s="186">
        <f t="shared" ref="Q56:Q63" si="47">O56+P56</f>
        <v>18379300</v>
      </c>
      <c r="R56" s="186">
        <f t="shared" ref="R56:R61" si="48">O56-B56</f>
        <v>15400</v>
      </c>
      <c r="S56" s="214">
        <f t="shared" ref="S56:S63" si="49">(O56-B56)/B56</f>
        <v>8.3860182205304978E-4</v>
      </c>
    </row>
    <row r="57" spans="1:20" x14ac:dyDescent="0.35">
      <c r="A57" s="70" t="s">
        <v>38</v>
      </c>
      <c r="B57" s="83">
        <v>1338100</v>
      </c>
      <c r="C57" s="84">
        <v>0</v>
      </c>
      <c r="D57" s="85">
        <f t="shared" si="44"/>
        <v>1338100</v>
      </c>
      <c r="E57" s="84">
        <v>0</v>
      </c>
      <c r="F57" s="190">
        <v>0</v>
      </c>
      <c r="G57" s="190">
        <v>0</v>
      </c>
      <c r="H57" s="18">
        <v>0</v>
      </c>
      <c r="I57" s="85">
        <v>0</v>
      </c>
      <c r="J57" s="84">
        <v>1900</v>
      </c>
      <c r="K57" s="190">
        <v>0</v>
      </c>
      <c r="L57" s="190">
        <v>0</v>
      </c>
      <c r="M57" s="85">
        <v>0</v>
      </c>
      <c r="N57" s="85">
        <v>0</v>
      </c>
      <c r="O57" s="190">
        <f t="shared" si="45"/>
        <v>1340000</v>
      </c>
      <c r="P57" s="190">
        <f t="shared" si="46"/>
        <v>0</v>
      </c>
      <c r="Q57" s="190">
        <f t="shared" si="47"/>
        <v>1340000</v>
      </c>
      <c r="R57" s="190">
        <f t="shared" si="48"/>
        <v>1900</v>
      </c>
      <c r="S57" s="214">
        <f t="shared" si="49"/>
        <v>1.4199237725132652E-3</v>
      </c>
    </row>
    <row r="58" spans="1:20" ht="15.75" customHeight="1" x14ac:dyDescent="0.35">
      <c r="A58" s="70" t="s">
        <v>91</v>
      </c>
      <c r="B58" s="83">
        <v>1211800</v>
      </c>
      <c r="C58" s="84">
        <v>0</v>
      </c>
      <c r="D58" s="85">
        <f t="shared" si="44"/>
        <v>1211800</v>
      </c>
      <c r="E58" s="84">
        <v>0</v>
      </c>
      <c r="F58" s="190">
        <v>0</v>
      </c>
      <c r="G58" s="190">
        <v>0</v>
      </c>
      <c r="H58" s="18">
        <v>0</v>
      </c>
      <c r="I58" s="85">
        <v>0</v>
      </c>
      <c r="J58" s="84">
        <v>0</v>
      </c>
      <c r="K58" s="190">
        <v>0</v>
      </c>
      <c r="L58" s="190">
        <v>0</v>
      </c>
      <c r="M58" s="85">
        <v>0</v>
      </c>
      <c r="N58" s="85">
        <v>0</v>
      </c>
      <c r="O58" s="190">
        <f t="shared" si="45"/>
        <v>1211800</v>
      </c>
      <c r="P58" s="190">
        <f t="shared" si="46"/>
        <v>0</v>
      </c>
      <c r="Q58" s="190">
        <f t="shared" si="47"/>
        <v>1211800</v>
      </c>
      <c r="R58" s="190">
        <f t="shared" si="48"/>
        <v>0</v>
      </c>
      <c r="S58" s="214">
        <f t="shared" si="49"/>
        <v>0</v>
      </c>
    </row>
    <row r="59" spans="1:20" x14ac:dyDescent="0.35">
      <c r="A59" s="70" t="s">
        <v>39</v>
      </c>
      <c r="B59" s="108">
        <v>5806700</v>
      </c>
      <c r="C59" s="84">
        <v>0</v>
      </c>
      <c r="D59" s="85">
        <f t="shared" si="44"/>
        <v>5806700</v>
      </c>
      <c r="E59" s="84">
        <v>0</v>
      </c>
      <c r="F59" s="190">
        <v>0</v>
      </c>
      <c r="G59" s="190">
        <v>0</v>
      </c>
      <c r="H59" s="18">
        <v>0</v>
      </c>
      <c r="I59" s="85">
        <v>0</v>
      </c>
      <c r="J59" s="84">
        <v>0</v>
      </c>
      <c r="K59" s="190">
        <v>0</v>
      </c>
      <c r="L59" s="190">
        <v>0</v>
      </c>
      <c r="M59" s="85">
        <v>0</v>
      </c>
      <c r="N59" s="85">
        <v>0</v>
      </c>
      <c r="O59" s="190">
        <f t="shared" si="45"/>
        <v>5806700</v>
      </c>
      <c r="P59" s="190">
        <f t="shared" si="46"/>
        <v>0</v>
      </c>
      <c r="Q59" s="190">
        <f t="shared" si="47"/>
        <v>5806700</v>
      </c>
      <c r="R59" s="190">
        <f t="shared" si="48"/>
        <v>0</v>
      </c>
      <c r="S59" s="214">
        <f t="shared" si="49"/>
        <v>0</v>
      </c>
    </row>
    <row r="60" spans="1:20" x14ac:dyDescent="0.35">
      <c r="A60" s="70" t="s">
        <v>40</v>
      </c>
      <c r="B60" s="108">
        <v>10256900</v>
      </c>
      <c r="C60" s="84">
        <v>0</v>
      </c>
      <c r="D60" s="85">
        <f t="shared" si="44"/>
        <v>10256900</v>
      </c>
      <c r="E60" s="84">
        <v>0</v>
      </c>
      <c r="F60" s="190">
        <v>0</v>
      </c>
      <c r="G60" s="190">
        <v>0</v>
      </c>
      <c r="H60" s="18">
        <v>0</v>
      </c>
      <c r="I60" s="85">
        <v>0</v>
      </c>
      <c r="J60" s="84">
        <v>0</v>
      </c>
      <c r="K60" s="190">
        <v>0</v>
      </c>
      <c r="L60" s="190">
        <v>0</v>
      </c>
      <c r="M60" s="85">
        <v>0</v>
      </c>
      <c r="N60" s="85">
        <v>0</v>
      </c>
      <c r="O60" s="190">
        <f t="shared" si="45"/>
        <v>10256900</v>
      </c>
      <c r="P60" s="190">
        <f t="shared" si="46"/>
        <v>0</v>
      </c>
      <c r="Q60" s="190">
        <f>O60+P60</f>
        <v>10256900</v>
      </c>
      <c r="R60" s="190">
        <f t="shared" si="48"/>
        <v>0</v>
      </c>
      <c r="S60" s="214">
        <f t="shared" si="49"/>
        <v>0</v>
      </c>
    </row>
    <row r="61" spans="1:20" x14ac:dyDescent="0.35">
      <c r="A61" s="86" t="s">
        <v>42</v>
      </c>
      <c r="B61" s="108">
        <v>5852900</v>
      </c>
      <c r="C61" s="84">
        <v>0</v>
      </c>
      <c r="D61" s="85">
        <f>SUM(B61:C61)</f>
        <v>5852900</v>
      </c>
      <c r="E61" s="84">
        <v>0</v>
      </c>
      <c r="F61" s="190">
        <v>0</v>
      </c>
      <c r="G61" s="190">
        <v>0</v>
      </c>
      <c r="H61" s="18">
        <v>0</v>
      </c>
      <c r="I61" s="85">
        <v>0</v>
      </c>
      <c r="J61" s="84">
        <v>0</v>
      </c>
      <c r="K61" s="190">
        <v>0</v>
      </c>
      <c r="L61" s="190">
        <v>0</v>
      </c>
      <c r="M61" s="85">
        <v>0</v>
      </c>
      <c r="N61" s="85">
        <v>0</v>
      </c>
      <c r="O61" s="190">
        <f t="shared" si="45"/>
        <v>5852900</v>
      </c>
      <c r="P61" s="190">
        <f t="shared" si="46"/>
        <v>0</v>
      </c>
      <c r="Q61" s="190">
        <f>O61+P61</f>
        <v>5852900</v>
      </c>
      <c r="R61" s="190">
        <f t="shared" si="48"/>
        <v>0</v>
      </c>
      <c r="S61" s="214">
        <f t="shared" si="49"/>
        <v>0</v>
      </c>
    </row>
    <row r="62" spans="1:20" x14ac:dyDescent="0.35">
      <c r="A62" s="70" t="s">
        <v>41</v>
      </c>
      <c r="B62" s="108">
        <f t="shared" ref="B62:R62" si="50">SUM(B63:B76)</f>
        <v>11089000</v>
      </c>
      <c r="C62" s="84">
        <f t="shared" si="50"/>
        <v>0</v>
      </c>
      <c r="D62" s="85">
        <f t="shared" si="50"/>
        <v>11089000</v>
      </c>
      <c r="E62" s="84">
        <f t="shared" si="50"/>
        <v>0</v>
      </c>
      <c r="F62" s="190">
        <f t="shared" si="50"/>
        <v>0</v>
      </c>
      <c r="G62" s="190">
        <f t="shared" si="50"/>
        <v>0</v>
      </c>
      <c r="H62" s="18">
        <f t="shared" si="50"/>
        <v>0</v>
      </c>
      <c r="I62" s="85">
        <f t="shared" si="50"/>
        <v>0</v>
      </c>
      <c r="J62" s="84">
        <f t="shared" si="50"/>
        <v>0</v>
      </c>
      <c r="K62" s="190">
        <f t="shared" si="50"/>
        <v>0</v>
      </c>
      <c r="L62" s="190">
        <f t="shared" si="50"/>
        <v>0</v>
      </c>
      <c r="M62" s="85">
        <f t="shared" si="50"/>
        <v>0</v>
      </c>
      <c r="N62" s="85">
        <f>SUM(N63:N76)</f>
        <v>3000000</v>
      </c>
      <c r="O62" s="190">
        <f t="shared" si="50"/>
        <v>11089000</v>
      </c>
      <c r="P62" s="190">
        <f t="shared" si="50"/>
        <v>3000000</v>
      </c>
      <c r="Q62" s="190">
        <f t="shared" si="50"/>
        <v>14089000</v>
      </c>
      <c r="R62" s="190">
        <f t="shared" si="50"/>
        <v>0</v>
      </c>
      <c r="S62" s="214">
        <f t="shared" si="49"/>
        <v>0</v>
      </c>
    </row>
    <row r="63" spans="1:20" s="16" customFormat="1" x14ac:dyDescent="0.35">
      <c r="A63" s="93" t="s">
        <v>86</v>
      </c>
      <c r="B63" s="123">
        <v>5778400</v>
      </c>
      <c r="C63" s="95">
        <v>0</v>
      </c>
      <c r="D63" s="96">
        <f t="shared" si="44"/>
        <v>5778400</v>
      </c>
      <c r="E63" s="95">
        <v>0</v>
      </c>
      <c r="F63" s="192">
        <v>0</v>
      </c>
      <c r="G63" s="192">
        <v>0</v>
      </c>
      <c r="H63" s="20">
        <v>0</v>
      </c>
      <c r="I63" s="96">
        <v>0</v>
      </c>
      <c r="J63" s="95">
        <v>0</v>
      </c>
      <c r="K63" s="192">
        <v>0</v>
      </c>
      <c r="L63" s="192">
        <v>0</v>
      </c>
      <c r="M63" s="96">
        <v>0</v>
      </c>
      <c r="N63" s="96">
        <v>0</v>
      </c>
      <c r="O63" s="192">
        <f t="shared" ref="O63:O76" si="51">SUM(D63,E63:M63)</f>
        <v>5778400</v>
      </c>
      <c r="P63" s="192">
        <f t="shared" ref="P63" si="52">SUM(N63:N63)</f>
        <v>0</v>
      </c>
      <c r="Q63" s="192">
        <f t="shared" si="47"/>
        <v>5778400</v>
      </c>
      <c r="R63" s="192">
        <f t="shared" ref="R63:R76" si="53">O63-B63</f>
        <v>0</v>
      </c>
      <c r="S63" s="216">
        <f t="shared" si="49"/>
        <v>0</v>
      </c>
    </row>
    <row r="64" spans="1:20" s="16" customFormat="1" x14ac:dyDescent="0.35">
      <c r="A64" s="112" t="s">
        <v>109</v>
      </c>
      <c r="B64" s="124">
        <v>150000</v>
      </c>
      <c r="C64" s="114">
        <v>0</v>
      </c>
      <c r="D64" s="115">
        <f t="shared" si="44"/>
        <v>150000</v>
      </c>
      <c r="E64" s="114">
        <v>0</v>
      </c>
      <c r="F64" s="195">
        <v>0</v>
      </c>
      <c r="G64" s="195">
        <v>0</v>
      </c>
      <c r="H64" s="22">
        <v>0</v>
      </c>
      <c r="I64" s="115">
        <v>0</v>
      </c>
      <c r="J64" s="114">
        <v>0</v>
      </c>
      <c r="K64" s="195">
        <v>0</v>
      </c>
      <c r="L64" s="195">
        <v>0</v>
      </c>
      <c r="M64" s="115">
        <v>0</v>
      </c>
      <c r="N64" s="115">
        <v>0</v>
      </c>
      <c r="O64" s="195">
        <f t="shared" si="51"/>
        <v>150000</v>
      </c>
      <c r="P64" s="195">
        <f t="shared" ref="P64:P76" si="54">SUM(N64:N64)</f>
        <v>0</v>
      </c>
      <c r="Q64" s="195">
        <f t="shared" ref="Q64:Q76" si="55">O64+P64</f>
        <v>150000</v>
      </c>
      <c r="R64" s="195">
        <f t="shared" si="53"/>
        <v>0</v>
      </c>
      <c r="S64" s="219" t="s">
        <v>68</v>
      </c>
    </row>
    <row r="65" spans="1:21" s="16" customFormat="1" x14ac:dyDescent="0.35">
      <c r="A65" s="112" t="s">
        <v>96</v>
      </c>
      <c r="B65" s="124">
        <v>1250000</v>
      </c>
      <c r="C65" s="114">
        <v>0</v>
      </c>
      <c r="D65" s="115">
        <f t="shared" ref="D65:D70" si="56">SUM(B65:C65)</f>
        <v>1250000</v>
      </c>
      <c r="E65" s="114">
        <v>0</v>
      </c>
      <c r="F65" s="195">
        <v>0</v>
      </c>
      <c r="G65" s="195">
        <v>0</v>
      </c>
      <c r="H65" s="22">
        <v>0</v>
      </c>
      <c r="I65" s="115">
        <v>0</v>
      </c>
      <c r="J65" s="114">
        <v>0</v>
      </c>
      <c r="K65" s="195">
        <v>0</v>
      </c>
      <c r="L65" s="195">
        <v>0</v>
      </c>
      <c r="M65" s="115">
        <v>0</v>
      </c>
      <c r="N65" s="115">
        <v>0</v>
      </c>
      <c r="O65" s="195">
        <f t="shared" si="51"/>
        <v>1250000</v>
      </c>
      <c r="P65" s="195">
        <f t="shared" ref="P65:P70" si="57">SUM(N65:N65)</f>
        <v>0</v>
      </c>
      <c r="Q65" s="195">
        <f t="shared" ref="Q65:Q70" si="58">O65+P65</f>
        <v>1250000</v>
      </c>
      <c r="R65" s="195">
        <f t="shared" si="53"/>
        <v>0</v>
      </c>
      <c r="S65" s="219" t="s">
        <v>68</v>
      </c>
    </row>
    <row r="66" spans="1:21" s="16" customFormat="1" x14ac:dyDescent="0.35">
      <c r="A66" s="112" t="s">
        <v>97</v>
      </c>
      <c r="B66" s="124">
        <v>500000</v>
      </c>
      <c r="C66" s="114">
        <v>0</v>
      </c>
      <c r="D66" s="115">
        <f t="shared" si="56"/>
        <v>500000</v>
      </c>
      <c r="E66" s="114">
        <v>0</v>
      </c>
      <c r="F66" s="195">
        <v>0</v>
      </c>
      <c r="G66" s="195">
        <v>0</v>
      </c>
      <c r="H66" s="22">
        <v>0</v>
      </c>
      <c r="I66" s="115">
        <v>0</v>
      </c>
      <c r="J66" s="114">
        <v>0</v>
      </c>
      <c r="K66" s="195">
        <v>0</v>
      </c>
      <c r="L66" s="195">
        <v>0</v>
      </c>
      <c r="M66" s="115">
        <v>0</v>
      </c>
      <c r="N66" s="115">
        <v>0</v>
      </c>
      <c r="O66" s="195">
        <f t="shared" si="51"/>
        <v>500000</v>
      </c>
      <c r="P66" s="195">
        <f t="shared" si="57"/>
        <v>0</v>
      </c>
      <c r="Q66" s="195">
        <f t="shared" si="58"/>
        <v>500000</v>
      </c>
      <c r="R66" s="195">
        <f t="shared" si="53"/>
        <v>0</v>
      </c>
      <c r="S66" s="219" t="s">
        <v>68</v>
      </c>
    </row>
    <row r="67" spans="1:21" s="16" customFormat="1" x14ac:dyDescent="0.35">
      <c r="A67" s="112" t="s">
        <v>87</v>
      </c>
      <c r="B67" s="124">
        <v>250000</v>
      </c>
      <c r="C67" s="114">
        <v>0</v>
      </c>
      <c r="D67" s="115">
        <f t="shared" si="56"/>
        <v>250000</v>
      </c>
      <c r="E67" s="114">
        <v>0</v>
      </c>
      <c r="F67" s="195">
        <v>0</v>
      </c>
      <c r="G67" s="195">
        <v>0</v>
      </c>
      <c r="H67" s="22">
        <v>0</v>
      </c>
      <c r="I67" s="115">
        <v>0</v>
      </c>
      <c r="J67" s="114">
        <v>0</v>
      </c>
      <c r="K67" s="195">
        <v>0</v>
      </c>
      <c r="L67" s="195">
        <v>0</v>
      </c>
      <c r="M67" s="115">
        <v>0</v>
      </c>
      <c r="N67" s="115">
        <v>0</v>
      </c>
      <c r="O67" s="195">
        <f t="shared" si="51"/>
        <v>250000</v>
      </c>
      <c r="P67" s="195">
        <f t="shared" si="57"/>
        <v>0</v>
      </c>
      <c r="Q67" s="195">
        <f t="shared" si="58"/>
        <v>250000</v>
      </c>
      <c r="R67" s="195">
        <f t="shared" si="53"/>
        <v>0</v>
      </c>
      <c r="S67" s="219" t="s">
        <v>68</v>
      </c>
    </row>
    <row r="68" spans="1:21" x14ac:dyDescent="0.35">
      <c r="A68" s="112" t="s">
        <v>95</v>
      </c>
      <c r="B68" s="124">
        <v>2210600</v>
      </c>
      <c r="C68" s="114">
        <v>0</v>
      </c>
      <c r="D68" s="115">
        <f t="shared" si="56"/>
        <v>2210600</v>
      </c>
      <c r="E68" s="114">
        <v>0</v>
      </c>
      <c r="F68" s="195">
        <v>0</v>
      </c>
      <c r="G68" s="195">
        <v>0</v>
      </c>
      <c r="H68" s="22">
        <v>0</v>
      </c>
      <c r="I68" s="115">
        <v>0</v>
      </c>
      <c r="J68" s="114">
        <v>0</v>
      </c>
      <c r="K68" s="195">
        <v>0</v>
      </c>
      <c r="L68" s="195">
        <v>0</v>
      </c>
      <c r="M68" s="115">
        <v>0</v>
      </c>
      <c r="N68" s="115">
        <v>0</v>
      </c>
      <c r="O68" s="195">
        <f t="shared" si="51"/>
        <v>2210600</v>
      </c>
      <c r="P68" s="195">
        <f t="shared" si="57"/>
        <v>0</v>
      </c>
      <c r="Q68" s="195">
        <f t="shared" si="58"/>
        <v>2210600</v>
      </c>
      <c r="R68" s="195">
        <f t="shared" si="53"/>
        <v>0</v>
      </c>
      <c r="S68" s="219" t="s">
        <v>68</v>
      </c>
    </row>
    <row r="69" spans="1:21" s="16" customFormat="1" x14ac:dyDescent="0.35">
      <c r="A69" s="112" t="s">
        <v>85</v>
      </c>
      <c r="B69" s="124">
        <v>950000</v>
      </c>
      <c r="C69" s="114">
        <v>0</v>
      </c>
      <c r="D69" s="115">
        <f t="shared" si="56"/>
        <v>950000</v>
      </c>
      <c r="E69" s="114">
        <v>0</v>
      </c>
      <c r="F69" s="195">
        <v>0</v>
      </c>
      <c r="G69" s="195">
        <v>0</v>
      </c>
      <c r="H69" s="22">
        <v>0</v>
      </c>
      <c r="I69" s="115">
        <v>0</v>
      </c>
      <c r="J69" s="114">
        <v>0</v>
      </c>
      <c r="K69" s="195">
        <v>0</v>
      </c>
      <c r="L69" s="195">
        <v>0</v>
      </c>
      <c r="M69" s="115">
        <v>0</v>
      </c>
      <c r="N69" s="115">
        <v>0</v>
      </c>
      <c r="O69" s="195">
        <f t="shared" si="51"/>
        <v>950000</v>
      </c>
      <c r="P69" s="195">
        <f t="shared" si="57"/>
        <v>0</v>
      </c>
      <c r="Q69" s="195">
        <f t="shared" si="58"/>
        <v>950000</v>
      </c>
      <c r="R69" s="195">
        <f t="shared" si="53"/>
        <v>0</v>
      </c>
      <c r="S69" s="219" t="s">
        <v>68</v>
      </c>
    </row>
    <row r="70" spans="1:21" s="16" customFormat="1" x14ac:dyDescent="0.35">
      <c r="A70" s="112" t="s">
        <v>113</v>
      </c>
      <c r="B70" s="124">
        <v>0</v>
      </c>
      <c r="C70" s="114">
        <v>0</v>
      </c>
      <c r="D70" s="115">
        <f t="shared" si="56"/>
        <v>0</v>
      </c>
      <c r="E70" s="114">
        <v>0</v>
      </c>
      <c r="F70" s="195">
        <v>0</v>
      </c>
      <c r="G70" s="195">
        <v>0</v>
      </c>
      <c r="H70" s="22">
        <v>0</v>
      </c>
      <c r="I70" s="115">
        <v>0</v>
      </c>
      <c r="J70" s="114">
        <v>0</v>
      </c>
      <c r="K70" s="195">
        <v>0</v>
      </c>
      <c r="L70" s="195">
        <v>0</v>
      </c>
      <c r="M70" s="115">
        <v>0</v>
      </c>
      <c r="N70" s="115">
        <v>0</v>
      </c>
      <c r="O70" s="195">
        <f t="shared" si="51"/>
        <v>0</v>
      </c>
      <c r="P70" s="195">
        <f t="shared" si="57"/>
        <v>0</v>
      </c>
      <c r="Q70" s="195">
        <f t="shared" si="58"/>
        <v>0</v>
      </c>
      <c r="R70" s="195">
        <f t="shared" si="53"/>
        <v>0</v>
      </c>
      <c r="S70" s="219" t="s">
        <v>68</v>
      </c>
    </row>
    <row r="71" spans="1:21" s="16" customFormat="1" x14ac:dyDescent="0.35">
      <c r="A71" s="112" t="s">
        <v>111</v>
      </c>
      <c r="B71" s="124">
        <v>0</v>
      </c>
      <c r="C71" s="114">
        <v>0</v>
      </c>
      <c r="D71" s="115">
        <f t="shared" si="44"/>
        <v>0</v>
      </c>
      <c r="E71" s="114">
        <v>0</v>
      </c>
      <c r="F71" s="195">
        <v>0</v>
      </c>
      <c r="G71" s="195">
        <v>0</v>
      </c>
      <c r="H71" s="22">
        <v>0</v>
      </c>
      <c r="I71" s="115">
        <v>0</v>
      </c>
      <c r="J71" s="114">
        <v>0</v>
      </c>
      <c r="K71" s="195">
        <v>0</v>
      </c>
      <c r="L71" s="195">
        <v>0</v>
      </c>
      <c r="M71" s="115">
        <v>0</v>
      </c>
      <c r="N71" s="115">
        <v>2000000</v>
      </c>
      <c r="O71" s="195">
        <f t="shared" si="51"/>
        <v>0</v>
      </c>
      <c r="P71" s="195">
        <f t="shared" si="54"/>
        <v>2000000</v>
      </c>
      <c r="Q71" s="195">
        <f t="shared" si="55"/>
        <v>2000000</v>
      </c>
      <c r="R71" s="195">
        <f t="shared" si="53"/>
        <v>0</v>
      </c>
      <c r="S71" s="219" t="s">
        <v>68</v>
      </c>
    </row>
    <row r="72" spans="1:21" s="16" customFormat="1" x14ac:dyDescent="0.35">
      <c r="A72" s="112" t="s">
        <v>112</v>
      </c>
      <c r="B72" s="124">
        <v>0</v>
      </c>
      <c r="C72" s="114">
        <v>0</v>
      </c>
      <c r="D72" s="115">
        <f t="shared" si="44"/>
        <v>0</v>
      </c>
      <c r="E72" s="114">
        <v>0</v>
      </c>
      <c r="F72" s="195">
        <v>0</v>
      </c>
      <c r="G72" s="195">
        <v>0</v>
      </c>
      <c r="H72" s="22">
        <v>0</v>
      </c>
      <c r="I72" s="115">
        <v>0</v>
      </c>
      <c r="J72" s="114">
        <v>0</v>
      </c>
      <c r="K72" s="195">
        <v>0</v>
      </c>
      <c r="L72" s="195">
        <v>0</v>
      </c>
      <c r="M72" s="115">
        <v>0</v>
      </c>
      <c r="N72" s="115">
        <v>0</v>
      </c>
      <c r="O72" s="195">
        <f t="shared" si="51"/>
        <v>0</v>
      </c>
      <c r="P72" s="195">
        <f t="shared" si="54"/>
        <v>0</v>
      </c>
      <c r="Q72" s="195">
        <f t="shared" si="55"/>
        <v>0</v>
      </c>
      <c r="R72" s="195">
        <f t="shared" si="53"/>
        <v>0</v>
      </c>
      <c r="S72" s="219" t="s">
        <v>68</v>
      </c>
    </row>
    <row r="73" spans="1:21" s="16" customFormat="1" ht="18" hidden="1" customHeight="1" x14ac:dyDescent="0.35">
      <c r="A73" s="112" t="s">
        <v>102</v>
      </c>
      <c r="B73" s="124">
        <v>0</v>
      </c>
      <c r="C73" s="114">
        <v>0</v>
      </c>
      <c r="D73" s="115">
        <f t="shared" si="44"/>
        <v>0</v>
      </c>
      <c r="E73" s="114">
        <v>0</v>
      </c>
      <c r="F73" s="195">
        <v>0</v>
      </c>
      <c r="G73" s="195">
        <v>0</v>
      </c>
      <c r="H73" s="22">
        <v>0</v>
      </c>
      <c r="I73" s="115">
        <v>0</v>
      </c>
      <c r="J73" s="114"/>
      <c r="K73" s="195"/>
      <c r="L73" s="195"/>
      <c r="M73" s="115"/>
      <c r="N73" s="115">
        <v>0</v>
      </c>
      <c r="O73" s="195">
        <f t="shared" si="51"/>
        <v>0</v>
      </c>
      <c r="P73" s="195">
        <f t="shared" si="54"/>
        <v>0</v>
      </c>
      <c r="Q73" s="195">
        <f t="shared" si="55"/>
        <v>0</v>
      </c>
      <c r="R73" s="195">
        <f t="shared" si="53"/>
        <v>0</v>
      </c>
      <c r="S73" s="219" t="s">
        <v>68</v>
      </c>
    </row>
    <row r="74" spans="1:21" s="16" customFormat="1" ht="18" hidden="1" customHeight="1" x14ac:dyDescent="0.35">
      <c r="A74" s="112" t="s">
        <v>103</v>
      </c>
      <c r="B74" s="124">
        <v>0</v>
      </c>
      <c r="C74" s="114">
        <v>0</v>
      </c>
      <c r="D74" s="115">
        <f t="shared" si="44"/>
        <v>0</v>
      </c>
      <c r="E74" s="114">
        <v>0</v>
      </c>
      <c r="F74" s="195">
        <v>0</v>
      </c>
      <c r="G74" s="195">
        <v>0</v>
      </c>
      <c r="H74" s="22">
        <v>0</v>
      </c>
      <c r="I74" s="115">
        <v>0</v>
      </c>
      <c r="J74" s="114"/>
      <c r="K74" s="195"/>
      <c r="L74" s="195"/>
      <c r="M74" s="115"/>
      <c r="N74" s="115">
        <v>0</v>
      </c>
      <c r="O74" s="195">
        <f t="shared" si="51"/>
        <v>0</v>
      </c>
      <c r="P74" s="195">
        <f t="shared" si="54"/>
        <v>0</v>
      </c>
      <c r="Q74" s="195">
        <f t="shared" si="55"/>
        <v>0</v>
      </c>
      <c r="R74" s="195">
        <f t="shared" si="53"/>
        <v>0</v>
      </c>
      <c r="S74" s="219" t="s">
        <v>68</v>
      </c>
    </row>
    <row r="75" spans="1:21" s="16" customFormat="1" ht="18" hidden="1" customHeight="1" x14ac:dyDescent="0.35">
      <c r="A75" s="112" t="s">
        <v>110</v>
      </c>
      <c r="B75" s="124">
        <v>0</v>
      </c>
      <c r="C75" s="114">
        <v>0</v>
      </c>
      <c r="D75" s="115">
        <f>SUM(B75:C75)</f>
        <v>0</v>
      </c>
      <c r="E75" s="114">
        <v>0</v>
      </c>
      <c r="F75" s="195">
        <v>0</v>
      </c>
      <c r="G75" s="195">
        <v>0</v>
      </c>
      <c r="H75" s="22">
        <v>0</v>
      </c>
      <c r="I75" s="115">
        <v>0</v>
      </c>
      <c r="J75" s="114"/>
      <c r="K75" s="195"/>
      <c r="L75" s="195"/>
      <c r="M75" s="115"/>
      <c r="N75" s="115">
        <v>0</v>
      </c>
      <c r="O75" s="195">
        <f t="shared" si="51"/>
        <v>0</v>
      </c>
      <c r="P75" s="195">
        <f>SUM(N75:N75)</f>
        <v>0</v>
      </c>
      <c r="Q75" s="195">
        <f>O75+P75</f>
        <v>0</v>
      </c>
      <c r="R75" s="195">
        <f t="shared" si="53"/>
        <v>0</v>
      </c>
      <c r="S75" s="219" t="s">
        <v>68</v>
      </c>
    </row>
    <row r="76" spans="1:21" s="16" customFormat="1" x14ac:dyDescent="0.35">
      <c r="A76" s="116" t="s">
        <v>84</v>
      </c>
      <c r="B76" s="125">
        <v>0</v>
      </c>
      <c r="C76" s="99">
        <v>0</v>
      </c>
      <c r="D76" s="100">
        <f t="shared" si="44"/>
        <v>0</v>
      </c>
      <c r="E76" s="99">
        <v>0</v>
      </c>
      <c r="F76" s="193">
        <v>0</v>
      </c>
      <c r="G76" s="193">
        <v>0</v>
      </c>
      <c r="H76" s="21">
        <v>0</v>
      </c>
      <c r="I76" s="100">
        <v>0</v>
      </c>
      <c r="J76" s="99">
        <v>0</v>
      </c>
      <c r="K76" s="193">
        <v>0</v>
      </c>
      <c r="L76" s="193">
        <v>0</v>
      </c>
      <c r="M76" s="100">
        <v>0</v>
      </c>
      <c r="N76" s="100">
        <v>1000000</v>
      </c>
      <c r="O76" s="193">
        <f t="shared" si="51"/>
        <v>0</v>
      </c>
      <c r="P76" s="193">
        <f t="shared" si="54"/>
        <v>1000000</v>
      </c>
      <c r="Q76" s="193">
        <f t="shared" si="55"/>
        <v>1000000</v>
      </c>
      <c r="R76" s="193">
        <f t="shared" si="53"/>
        <v>0</v>
      </c>
      <c r="S76" s="217" t="s">
        <v>68</v>
      </c>
    </row>
    <row r="77" spans="1:21" x14ac:dyDescent="0.35">
      <c r="A77" s="87" t="s">
        <v>8</v>
      </c>
      <c r="B77" s="105">
        <f t="shared" ref="B77:R77" si="59">SUM(B56:B62)</f>
        <v>53919300</v>
      </c>
      <c r="C77" s="106">
        <f t="shared" si="59"/>
        <v>0</v>
      </c>
      <c r="D77" s="107">
        <f t="shared" si="59"/>
        <v>53919300</v>
      </c>
      <c r="E77" s="106">
        <f t="shared" si="59"/>
        <v>0</v>
      </c>
      <c r="F77" s="184">
        <f t="shared" si="59"/>
        <v>0</v>
      </c>
      <c r="G77" s="184">
        <f t="shared" si="59"/>
        <v>0</v>
      </c>
      <c r="H77" s="10">
        <f t="shared" si="59"/>
        <v>0</v>
      </c>
      <c r="I77" s="107">
        <f t="shared" si="59"/>
        <v>0</v>
      </c>
      <c r="J77" s="106">
        <f t="shared" si="59"/>
        <v>17300</v>
      </c>
      <c r="K77" s="184">
        <f>SUM(K56:K72)</f>
        <v>0</v>
      </c>
      <c r="L77" s="184">
        <f>SUM(L56:L72)</f>
        <v>0</v>
      </c>
      <c r="M77" s="107">
        <f>SUM(M56:M72)</f>
        <v>0</v>
      </c>
      <c r="N77" s="107">
        <f t="shared" si="59"/>
        <v>3000000</v>
      </c>
      <c r="O77" s="184">
        <f t="shared" si="59"/>
        <v>53936600</v>
      </c>
      <c r="P77" s="184">
        <f t="shared" si="59"/>
        <v>3000000</v>
      </c>
      <c r="Q77" s="184">
        <f t="shared" si="59"/>
        <v>56936600</v>
      </c>
      <c r="R77" s="184">
        <f t="shared" si="59"/>
        <v>17300</v>
      </c>
      <c r="S77" s="218">
        <f>(O77-B77)/B77</f>
        <v>3.2084986266513107E-4</v>
      </c>
    </row>
    <row r="78" spans="1:21" x14ac:dyDescent="0.35">
      <c r="A78" s="70"/>
      <c r="B78" s="91"/>
      <c r="C78" s="70"/>
      <c r="D78" s="92"/>
      <c r="E78" s="70"/>
      <c r="F78" s="185"/>
      <c r="G78" s="185"/>
      <c r="H78" s="11"/>
      <c r="I78" s="92"/>
      <c r="J78" s="70"/>
      <c r="K78" s="185"/>
      <c r="L78" s="185"/>
      <c r="M78" s="92"/>
      <c r="N78" s="92"/>
      <c r="O78" s="185"/>
      <c r="P78" s="185"/>
      <c r="Q78" s="185"/>
      <c r="R78" s="185"/>
      <c r="S78" s="214"/>
    </row>
    <row r="79" spans="1:21" ht="18.75" thickBot="1" x14ac:dyDescent="0.4">
      <c r="A79" s="126" t="s">
        <v>70</v>
      </c>
      <c r="B79" s="127">
        <f t="shared" ref="B79:R79" si="60">B53+B77</f>
        <v>1684937600</v>
      </c>
      <c r="C79" s="128">
        <f t="shared" si="60"/>
        <v>-110000</v>
      </c>
      <c r="D79" s="129">
        <f t="shared" si="60"/>
        <v>1684827600</v>
      </c>
      <c r="E79" s="128">
        <f t="shared" si="60"/>
        <v>0</v>
      </c>
      <c r="F79" s="187">
        <f t="shared" si="60"/>
        <v>0</v>
      </c>
      <c r="G79" s="187">
        <f t="shared" si="60"/>
        <v>3616700</v>
      </c>
      <c r="H79" s="12">
        <f t="shared" si="60"/>
        <v>0</v>
      </c>
      <c r="I79" s="129">
        <f t="shared" si="60"/>
        <v>5457400</v>
      </c>
      <c r="J79" s="128">
        <f t="shared" si="60"/>
        <v>3282600</v>
      </c>
      <c r="K79" s="187">
        <f t="shared" si="60"/>
        <v>174600</v>
      </c>
      <c r="L79" s="187">
        <f t="shared" si="60"/>
        <v>-130700</v>
      </c>
      <c r="M79" s="129">
        <f t="shared" si="60"/>
        <v>171900</v>
      </c>
      <c r="N79" s="129">
        <f t="shared" si="60"/>
        <v>6695700</v>
      </c>
      <c r="O79" s="187">
        <f t="shared" si="60"/>
        <v>1697400100</v>
      </c>
      <c r="P79" s="187">
        <f t="shared" si="60"/>
        <v>6695700</v>
      </c>
      <c r="Q79" s="187">
        <f t="shared" si="60"/>
        <v>1704095800</v>
      </c>
      <c r="R79" s="187">
        <f t="shared" si="60"/>
        <v>12462500</v>
      </c>
      <c r="S79" s="221">
        <f>(O79-B79)/B79</f>
        <v>7.3964163420651308E-3</v>
      </c>
      <c r="T79" s="14"/>
    </row>
    <row r="80" spans="1:21" ht="20.25" customHeight="1" thickBot="1" x14ac:dyDescent="0.4">
      <c r="A80" s="130"/>
      <c r="B80" s="131"/>
      <c r="C80" s="132"/>
      <c r="D80" s="133"/>
      <c r="E80" s="132"/>
      <c r="F80" s="130"/>
      <c r="G80" s="130"/>
      <c r="H80" s="25"/>
      <c r="I80" s="130"/>
      <c r="J80" s="132"/>
      <c r="K80" s="130"/>
      <c r="L80" s="130"/>
      <c r="M80" s="130"/>
      <c r="N80" s="130"/>
      <c r="O80" s="130"/>
      <c r="P80" s="130"/>
      <c r="Q80" s="222"/>
      <c r="R80" s="130"/>
      <c r="S80" s="130"/>
      <c r="T80" s="26"/>
      <c r="U80" s="27"/>
    </row>
    <row r="81" spans="1:21" ht="18.75" thickBot="1" x14ac:dyDescent="0.4">
      <c r="A81" s="134" t="s">
        <v>92</v>
      </c>
      <c r="B81" s="135">
        <v>40000000</v>
      </c>
      <c r="C81" s="135">
        <v>0</v>
      </c>
      <c r="D81" s="136">
        <f>SUM(B81:C81)</f>
        <v>40000000</v>
      </c>
      <c r="E81" s="135">
        <v>0</v>
      </c>
      <c r="F81" s="197">
        <v>0</v>
      </c>
      <c r="G81" s="197">
        <v>0</v>
      </c>
      <c r="H81" s="28">
        <v>0</v>
      </c>
      <c r="I81" s="197">
        <v>0</v>
      </c>
      <c r="J81" s="135">
        <v>0</v>
      </c>
      <c r="K81" s="197">
        <v>0</v>
      </c>
      <c r="L81" s="197">
        <v>0</v>
      </c>
      <c r="M81" s="197">
        <v>0</v>
      </c>
      <c r="N81" s="201">
        <v>0</v>
      </c>
      <c r="O81" s="223">
        <f t="shared" ref="O81" si="61">SUM(D81,E81:M81)</f>
        <v>40000000</v>
      </c>
      <c r="P81" s="197">
        <f>SUM(N81:N81)</f>
        <v>0</v>
      </c>
      <c r="Q81" s="224">
        <f t="shared" ref="Q81" si="62">O81+P81</f>
        <v>40000000</v>
      </c>
      <c r="R81" s="224">
        <f>O81-B81</f>
        <v>0</v>
      </c>
      <c r="S81" s="225">
        <f>(O81-B81)/B81</f>
        <v>0</v>
      </c>
      <c r="T81" s="14"/>
    </row>
    <row r="82" spans="1:21" ht="20.25" hidden="1" customHeight="1" thickBot="1" x14ac:dyDescent="0.4">
      <c r="A82" s="130"/>
      <c r="B82" s="131"/>
      <c r="C82" s="132"/>
      <c r="D82" s="133"/>
      <c r="E82" s="132"/>
      <c r="F82" s="130"/>
      <c r="G82" s="130"/>
      <c r="H82" s="25"/>
      <c r="I82" s="130"/>
      <c r="J82" s="132"/>
      <c r="K82" s="130"/>
      <c r="L82" s="130"/>
      <c r="M82" s="130"/>
      <c r="N82" s="130"/>
      <c r="O82" s="130"/>
      <c r="P82" s="130"/>
      <c r="Q82" s="222"/>
      <c r="R82" s="130"/>
      <c r="S82" s="130"/>
      <c r="T82" s="26"/>
      <c r="U82" s="27"/>
    </row>
    <row r="83" spans="1:21" ht="18.75" hidden="1" customHeight="1" thickBot="1" x14ac:dyDescent="0.4">
      <c r="A83" s="134" t="s">
        <v>106</v>
      </c>
      <c r="B83" s="135">
        <v>0</v>
      </c>
      <c r="C83" s="135">
        <v>0</v>
      </c>
      <c r="D83" s="136">
        <f>SUM(B83:C83)</f>
        <v>0</v>
      </c>
      <c r="E83" s="135">
        <v>0</v>
      </c>
      <c r="F83" s="197">
        <v>0</v>
      </c>
      <c r="G83" s="197">
        <v>0</v>
      </c>
      <c r="H83" s="28">
        <v>0</v>
      </c>
      <c r="I83" s="197">
        <v>0</v>
      </c>
      <c r="J83" s="135">
        <v>0</v>
      </c>
      <c r="K83" s="197">
        <v>0</v>
      </c>
      <c r="L83" s="197">
        <v>0</v>
      </c>
      <c r="M83" s="197">
        <v>0</v>
      </c>
      <c r="N83" s="197">
        <v>0</v>
      </c>
      <c r="O83" s="223">
        <f>SUM(D83,E83:I83)</f>
        <v>0</v>
      </c>
      <c r="P83" s="197">
        <f>SUM(N83:N83)</f>
        <v>0</v>
      </c>
      <c r="Q83" s="224">
        <f t="shared" ref="Q83" si="63">O83+P83</f>
        <v>0</v>
      </c>
      <c r="R83" s="224">
        <f>O83-B83</f>
        <v>0</v>
      </c>
      <c r="S83" s="225" t="s">
        <v>68</v>
      </c>
      <c r="T83" s="14"/>
    </row>
    <row r="84" spans="1:21" ht="20.25" customHeight="1" thickBot="1" x14ac:dyDescent="0.4">
      <c r="A84" s="130"/>
      <c r="B84" s="131"/>
      <c r="C84" s="131"/>
      <c r="D84" s="131"/>
      <c r="E84" s="132"/>
      <c r="F84" s="130"/>
      <c r="G84" s="130"/>
      <c r="H84" s="25"/>
      <c r="I84" s="130"/>
      <c r="J84" s="132"/>
      <c r="K84" s="130"/>
      <c r="L84" s="130"/>
      <c r="M84" s="130"/>
      <c r="N84" s="130"/>
      <c r="O84" s="130"/>
      <c r="P84" s="130"/>
      <c r="Q84" s="222"/>
      <c r="R84" s="130"/>
      <c r="S84" s="130"/>
      <c r="T84" s="29"/>
      <c r="U84" s="27"/>
    </row>
    <row r="85" spans="1:21" ht="18.75" thickBot="1" x14ac:dyDescent="0.4">
      <c r="A85" s="134" t="s">
        <v>78</v>
      </c>
      <c r="B85" s="135">
        <v>374800000</v>
      </c>
      <c r="C85" s="135">
        <f>11900000+2800000</f>
        <v>14700000</v>
      </c>
      <c r="D85" s="136">
        <f>SUM(B85:C85)</f>
        <v>389500000</v>
      </c>
      <c r="E85" s="135">
        <v>0</v>
      </c>
      <c r="F85" s="197">
        <v>0</v>
      </c>
      <c r="G85" s="197">
        <v>0</v>
      </c>
      <c r="H85" s="28">
        <v>0</v>
      </c>
      <c r="I85" s="197">
        <v>0</v>
      </c>
      <c r="J85" s="135">
        <v>0</v>
      </c>
      <c r="K85" s="197">
        <v>0</v>
      </c>
      <c r="L85" s="197">
        <v>0</v>
      </c>
      <c r="M85" s="197">
        <v>0</v>
      </c>
      <c r="N85" s="201">
        <v>0</v>
      </c>
      <c r="O85" s="223">
        <f t="shared" ref="O85" si="64">SUM(D85,E85:M85)</f>
        <v>389500000</v>
      </c>
      <c r="P85" s="197">
        <f>SUM(N85:N85)</f>
        <v>0</v>
      </c>
      <c r="Q85" s="224">
        <f t="shared" ref="Q85" si="65">O85+P85</f>
        <v>389500000</v>
      </c>
      <c r="R85" s="224">
        <f>O85-B85</f>
        <v>14700000</v>
      </c>
      <c r="S85" s="225">
        <f>(O85-B85)/B85</f>
        <v>3.9220917822838847E-2</v>
      </c>
      <c r="T85" s="14"/>
    </row>
    <row r="86" spans="1:21" ht="18.75" thickBot="1" x14ac:dyDescent="0.4">
      <c r="D86" s="137"/>
      <c r="F86" s="137"/>
      <c r="G86" s="137"/>
      <c r="H86" s="30"/>
      <c r="I86" s="137"/>
      <c r="K86" s="137"/>
      <c r="L86" s="137"/>
      <c r="M86" s="137"/>
      <c r="N86" s="137"/>
      <c r="O86" s="140"/>
      <c r="P86" s="140"/>
      <c r="Q86" s="226"/>
      <c r="R86" s="140"/>
      <c r="S86" s="137"/>
      <c r="T86" s="31"/>
      <c r="U86" s="31"/>
    </row>
    <row r="87" spans="1:21" ht="18.75" thickBot="1" x14ac:dyDescent="0.4">
      <c r="A87" s="134" t="s">
        <v>105</v>
      </c>
      <c r="B87" s="138">
        <f>B79+B81+B83+B85</f>
        <v>2099737600</v>
      </c>
      <c r="C87" s="260">
        <f t="shared" ref="C87:Q87" si="66">C79+C81+C83+C85</f>
        <v>14590000</v>
      </c>
      <c r="D87" s="264">
        <f t="shared" si="66"/>
        <v>2114327600</v>
      </c>
      <c r="E87" s="260">
        <f t="shared" si="66"/>
        <v>0</v>
      </c>
      <c r="F87" s="259">
        <f t="shared" si="66"/>
        <v>0</v>
      </c>
      <c r="G87" s="259">
        <f t="shared" si="66"/>
        <v>3616700</v>
      </c>
      <c r="H87" s="28">
        <f t="shared" si="66"/>
        <v>0</v>
      </c>
      <c r="I87" s="259">
        <f t="shared" si="66"/>
        <v>5457400</v>
      </c>
      <c r="J87" s="260">
        <f t="shared" ref="J87:M87" si="67">J79+J81+J83+J85</f>
        <v>3282600</v>
      </c>
      <c r="K87" s="259">
        <f t="shared" si="67"/>
        <v>174600</v>
      </c>
      <c r="L87" s="259">
        <f t="shared" si="67"/>
        <v>-130700</v>
      </c>
      <c r="M87" s="259">
        <f t="shared" si="67"/>
        <v>171900</v>
      </c>
      <c r="N87" s="261">
        <f t="shared" si="66"/>
        <v>6695700</v>
      </c>
      <c r="O87" s="262">
        <f t="shared" si="66"/>
        <v>2126900100</v>
      </c>
      <c r="P87" s="262">
        <f t="shared" si="66"/>
        <v>6695700</v>
      </c>
      <c r="Q87" s="263">
        <f t="shared" si="66"/>
        <v>2133595800</v>
      </c>
      <c r="R87" s="224">
        <f>R79+R81+R83+R85</f>
        <v>27162500</v>
      </c>
      <c r="S87" s="225">
        <f>(O87-B87)/B87</f>
        <v>1.2936140211043513E-2</v>
      </c>
      <c r="T87" s="31"/>
      <c r="U87" s="31"/>
    </row>
    <row r="88" spans="1:21" x14ac:dyDescent="0.35">
      <c r="B88" s="139"/>
      <c r="C88" s="137"/>
      <c r="D88" s="137"/>
      <c r="E88" s="137"/>
      <c r="F88" s="137"/>
      <c r="G88" s="137"/>
      <c r="H88" s="30"/>
      <c r="I88" s="137"/>
      <c r="J88" s="137"/>
      <c r="K88" s="137"/>
      <c r="L88" s="137"/>
      <c r="M88" s="137"/>
      <c r="N88" s="137"/>
      <c r="O88" s="137"/>
      <c r="P88" s="140"/>
      <c r="Q88" s="226"/>
      <c r="R88" s="140"/>
      <c r="S88" s="137"/>
    </row>
    <row r="89" spans="1:21" x14ac:dyDescent="0.35">
      <c r="B89" s="33">
        <v>11674800</v>
      </c>
      <c r="C89" s="137"/>
      <c r="D89" s="140"/>
      <c r="E89" s="137"/>
      <c r="F89" s="137"/>
      <c r="G89" s="137"/>
      <c r="H89" s="30"/>
      <c r="I89" s="137"/>
      <c r="J89" s="137"/>
      <c r="K89" s="137"/>
      <c r="L89" s="137"/>
      <c r="M89" s="137"/>
      <c r="N89" s="137"/>
      <c r="O89" s="140"/>
      <c r="P89" s="227"/>
      <c r="Q89" s="226"/>
      <c r="R89" s="140"/>
      <c r="S89" s="137"/>
    </row>
    <row r="90" spans="1:21" x14ac:dyDescent="0.35">
      <c r="B90" s="139"/>
      <c r="C90" s="137"/>
      <c r="D90" s="140"/>
      <c r="E90" s="137"/>
      <c r="F90" s="198"/>
      <c r="G90" s="198"/>
      <c r="H90" s="30"/>
      <c r="I90" s="137"/>
      <c r="J90" s="137"/>
      <c r="K90" s="137"/>
      <c r="L90" s="137"/>
      <c r="M90" s="137"/>
      <c r="N90" s="137"/>
      <c r="O90" s="228"/>
      <c r="P90" s="140"/>
      <c r="R90" s="140"/>
      <c r="S90" s="137"/>
      <c r="T90" s="31"/>
      <c r="U90" s="31"/>
    </row>
    <row r="91" spans="1:21" x14ac:dyDescent="0.35">
      <c r="B91" s="139"/>
      <c r="C91" s="137"/>
      <c r="D91" s="137"/>
      <c r="E91" s="137"/>
      <c r="F91" s="199"/>
      <c r="G91" s="199"/>
      <c r="H91" s="30"/>
      <c r="I91" s="137"/>
      <c r="J91" s="137"/>
      <c r="K91" s="137"/>
      <c r="L91" s="137"/>
      <c r="M91" s="137"/>
      <c r="N91" s="137"/>
      <c r="O91" s="228"/>
      <c r="P91" s="140"/>
      <c r="Q91" s="226"/>
      <c r="R91" s="140"/>
      <c r="S91" s="137"/>
      <c r="T91" s="31"/>
      <c r="U91" s="31"/>
    </row>
    <row r="92" spans="1:21" x14ac:dyDescent="0.35">
      <c r="Q92" s="141"/>
      <c r="R92" s="142"/>
    </row>
    <row r="93" spans="1:21" x14ac:dyDescent="0.35">
      <c r="Q93" s="142"/>
      <c r="R93" s="142"/>
    </row>
    <row r="96" spans="1:21" x14ac:dyDescent="0.35">
      <c r="C96" s="141"/>
    </row>
  </sheetData>
  <mergeCells count="5">
    <mergeCell ref="A1:S1"/>
    <mergeCell ref="C3:D3"/>
    <mergeCell ref="O3:Q3"/>
    <mergeCell ref="E3:I3"/>
    <mergeCell ref="J3:M3"/>
  </mergeCells>
  <phoneticPr fontId="20" type="noConversion"/>
  <printOptions horizontalCentered="1"/>
  <pageMargins left="0.25" right="0.25" top="0.25" bottom="0.25" header="0.5" footer="0.5"/>
  <pageSetup paperSize="17" scale="53" orientation="landscape" r:id="rId1"/>
  <headerFooter alignWithMargins="0"/>
  <ignoredErrors>
    <ignoredError sqref="O16:O20 B21:L21 N21 M21 O21 O56:O76 O81:O85" formulaRange="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2020-21 Form Distr</vt:lpstr>
      <vt:lpstr>2020-21 NF Distr</vt:lpstr>
      <vt:lpstr>'2020-21 Form Distr'!Print_Area</vt:lpstr>
      <vt:lpstr>'2020-21 NF Distr'!Print_Area</vt:lpstr>
    </vt:vector>
  </TitlesOfParts>
  <Company>State of Tennessee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CB50111</dc:creator>
  <cp:lastModifiedBy>Crystal Collins</cp:lastModifiedBy>
  <cp:lastPrinted>2020-02-03T22:39:11Z</cp:lastPrinted>
  <dcterms:created xsi:type="dcterms:W3CDTF">2011-03-14T18:34:44Z</dcterms:created>
  <dcterms:modified xsi:type="dcterms:W3CDTF">2021-02-05T21:18:19Z</dcterms:modified>
</cp:coreProperties>
</file>