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showInkAnnotation="0" defaultThemeVersion="124226"/>
  <xr:revisionPtr revIDLastSave="0" documentId="13_ncr:1_{BF0565ED-184F-4ECF-BD42-373EEA520C6C}" xr6:coauthVersionLast="47" xr6:coauthVersionMax="47" xr10:uidLastSave="{00000000-0000-0000-0000-000000000000}"/>
  <bookViews>
    <workbookView xWindow="-110" yWindow="-110" windowWidth="19420" windowHeight="10420" activeTab="1" xr2:uid="{00000000-000D-0000-FFFF-FFFF00000000}"/>
  </bookViews>
  <sheets>
    <sheet name="AADT Queue Analysis" sheetId="7" r:id="rId1"/>
    <sheet name="Hourly Queue Analysis" sheetId="9" r:id="rId2"/>
    <sheet name="AADT" sheetId="2" r:id="rId3"/>
    <sheet name="Revision History" sheetId="4" r:id="rId4"/>
    <sheet name="NAMES" sheetId="3" state="hidden" r:id="rId5"/>
  </sheets>
  <definedNames>
    <definedName name="Direction">NAMES!$C$2:$C$4</definedName>
    <definedName name="_xlnm.Print_Area" localSheetId="2">AADT!$A$1:$J$37</definedName>
    <definedName name="_xlnm.Print_Area" localSheetId="0">'AADT Queue Analysis'!$A$1:$AC$62</definedName>
    <definedName name="_xlnm.Print_Area" localSheetId="1">'Hourly Queue Analysis'!$A$1:$AC$62</definedName>
    <definedName name="Roadway">NAMES!$B$2:$B$5</definedName>
    <definedName name="Terrain">NAMES!$D$3:$D$5</definedName>
    <definedName name="Volume">NAMES!$A$3:$A$5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58" i="9" l="1"/>
  <c r="N58" i="9"/>
  <c r="I58" i="9"/>
  <c r="J58" i="9" s="1"/>
  <c r="L58" i="9" s="1"/>
  <c r="H58" i="9"/>
  <c r="F58" i="9"/>
  <c r="E58" i="9"/>
  <c r="D58" i="9"/>
  <c r="C58" i="9"/>
  <c r="N57" i="9"/>
  <c r="Q57" i="9" s="1"/>
  <c r="I57" i="9"/>
  <c r="J57" i="9" s="1"/>
  <c r="L57" i="9" s="1"/>
  <c r="H57" i="9"/>
  <c r="F57" i="9"/>
  <c r="E57" i="9"/>
  <c r="D57" i="9"/>
  <c r="C57" i="9"/>
  <c r="Q56" i="9"/>
  <c r="N56" i="9"/>
  <c r="H56" i="9"/>
  <c r="I56" i="9" s="1"/>
  <c r="J56" i="9" s="1"/>
  <c r="L56" i="9" s="1"/>
  <c r="F56" i="9"/>
  <c r="E56" i="9"/>
  <c r="D56" i="9"/>
  <c r="C56" i="9"/>
  <c r="Q55" i="9"/>
  <c r="N55" i="9"/>
  <c r="H55" i="9"/>
  <c r="I55" i="9" s="1"/>
  <c r="J55" i="9" s="1"/>
  <c r="L55" i="9" s="1"/>
  <c r="F55" i="9"/>
  <c r="E55" i="9"/>
  <c r="D55" i="9"/>
  <c r="C55" i="9"/>
  <c r="N54" i="9"/>
  <c r="Q54" i="9" s="1"/>
  <c r="J54" i="9"/>
  <c r="L54" i="9" s="1"/>
  <c r="I54" i="9"/>
  <c r="H54" i="9"/>
  <c r="F54" i="9"/>
  <c r="E54" i="9"/>
  <c r="D54" i="9"/>
  <c r="C54" i="9"/>
  <c r="N53" i="9"/>
  <c r="Q53" i="9" s="1"/>
  <c r="I53" i="9"/>
  <c r="J53" i="9" s="1"/>
  <c r="L53" i="9" s="1"/>
  <c r="H53" i="9"/>
  <c r="F53" i="9"/>
  <c r="E53" i="9"/>
  <c r="D53" i="9"/>
  <c r="C53" i="9"/>
  <c r="Q52" i="9"/>
  <c r="N52" i="9"/>
  <c r="H52" i="9"/>
  <c r="I52" i="9" s="1"/>
  <c r="J52" i="9" s="1"/>
  <c r="L52" i="9" s="1"/>
  <c r="F52" i="9"/>
  <c r="E52" i="9"/>
  <c r="D52" i="9"/>
  <c r="C52" i="9"/>
  <c r="Q51" i="9"/>
  <c r="N51" i="9"/>
  <c r="H51" i="9"/>
  <c r="I51" i="9" s="1"/>
  <c r="J51" i="9" s="1"/>
  <c r="L51" i="9" s="1"/>
  <c r="F51" i="9"/>
  <c r="E51" i="9"/>
  <c r="D51" i="9"/>
  <c r="C51" i="9"/>
  <c r="N50" i="9"/>
  <c r="Q50" i="9" s="1"/>
  <c r="I50" i="9"/>
  <c r="J50" i="9" s="1"/>
  <c r="L50" i="9" s="1"/>
  <c r="H50" i="9"/>
  <c r="F50" i="9"/>
  <c r="E50" i="9"/>
  <c r="D50" i="9"/>
  <c r="C50" i="9"/>
  <c r="N49" i="9"/>
  <c r="Q49" i="9" s="1"/>
  <c r="I49" i="9"/>
  <c r="J49" i="9" s="1"/>
  <c r="L49" i="9" s="1"/>
  <c r="H49" i="9"/>
  <c r="F49" i="9"/>
  <c r="E49" i="9"/>
  <c r="D49" i="9"/>
  <c r="C49" i="9"/>
  <c r="Q48" i="9"/>
  <c r="N48" i="9"/>
  <c r="H48" i="9"/>
  <c r="I48" i="9" s="1"/>
  <c r="J48" i="9" s="1"/>
  <c r="L48" i="9" s="1"/>
  <c r="F48" i="9"/>
  <c r="E48" i="9"/>
  <c r="D48" i="9"/>
  <c r="C48" i="9"/>
  <c r="Q47" i="9"/>
  <c r="N47" i="9"/>
  <c r="H47" i="9"/>
  <c r="I47" i="9" s="1"/>
  <c r="J47" i="9" s="1"/>
  <c r="L47" i="9" s="1"/>
  <c r="F47" i="9"/>
  <c r="E47" i="9"/>
  <c r="D47" i="9"/>
  <c r="C47" i="9"/>
  <c r="N46" i="9"/>
  <c r="Q46" i="9" s="1"/>
  <c r="I46" i="9"/>
  <c r="J46" i="9" s="1"/>
  <c r="L46" i="9" s="1"/>
  <c r="H46" i="9"/>
  <c r="F46" i="9"/>
  <c r="E46" i="9"/>
  <c r="D46" i="9"/>
  <c r="C46" i="9"/>
  <c r="N45" i="9"/>
  <c r="Q45" i="9" s="1"/>
  <c r="I45" i="9"/>
  <c r="J45" i="9" s="1"/>
  <c r="L45" i="9" s="1"/>
  <c r="H45" i="9"/>
  <c r="F45" i="9"/>
  <c r="E45" i="9"/>
  <c r="D45" i="9"/>
  <c r="C45" i="9"/>
  <c r="Q44" i="9"/>
  <c r="N44" i="9"/>
  <c r="H44" i="9"/>
  <c r="I44" i="9" s="1"/>
  <c r="J44" i="9" s="1"/>
  <c r="L44" i="9" s="1"/>
  <c r="F44" i="9"/>
  <c r="E44" i="9"/>
  <c r="D44" i="9"/>
  <c r="C44" i="9"/>
  <c r="Q43" i="9"/>
  <c r="N43" i="9"/>
  <c r="H43" i="9"/>
  <c r="I43" i="9" s="1"/>
  <c r="J43" i="9" s="1"/>
  <c r="L43" i="9" s="1"/>
  <c r="F43" i="9"/>
  <c r="E43" i="9"/>
  <c r="D43" i="9"/>
  <c r="C43" i="9"/>
  <c r="N42" i="9"/>
  <c r="Q42" i="9" s="1"/>
  <c r="I42" i="9"/>
  <c r="J42" i="9" s="1"/>
  <c r="L42" i="9" s="1"/>
  <c r="H42" i="9"/>
  <c r="F42" i="9"/>
  <c r="E42" i="9"/>
  <c r="D42" i="9"/>
  <c r="C42" i="9"/>
  <c r="N41" i="9"/>
  <c r="Q41" i="9" s="1"/>
  <c r="I41" i="9"/>
  <c r="J41" i="9" s="1"/>
  <c r="L41" i="9" s="1"/>
  <c r="H41" i="9"/>
  <c r="F41" i="9"/>
  <c r="E41" i="9"/>
  <c r="D41" i="9"/>
  <c r="C41" i="9"/>
  <c r="Q40" i="9"/>
  <c r="N40" i="9"/>
  <c r="H40" i="9"/>
  <c r="I40" i="9" s="1"/>
  <c r="J40" i="9" s="1"/>
  <c r="L40" i="9" s="1"/>
  <c r="F40" i="9"/>
  <c r="E40" i="9"/>
  <c r="D40" i="9"/>
  <c r="C40" i="9"/>
  <c r="Q39" i="9"/>
  <c r="N39" i="9"/>
  <c r="H39" i="9"/>
  <c r="I39" i="9" s="1"/>
  <c r="J39" i="9" s="1"/>
  <c r="L39" i="9" s="1"/>
  <c r="F39" i="9"/>
  <c r="E39" i="9"/>
  <c r="D39" i="9"/>
  <c r="C39" i="9"/>
  <c r="N38" i="9"/>
  <c r="Q38" i="9" s="1"/>
  <c r="I38" i="9"/>
  <c r="J38" i="9" s="1"/>
  <c r="L38" i="9" s="1"/>
  <c r="H38" i="9"/>
  <c r="F38" i="9"/>
  <c r="E38" i="9"/>
  <c r="D38" i="9"/>
  <c r="C38" i="9"/>
  <c r="N37" i="9"/>
  <c r="Q37" i="9" s="1"/>
  <c r="I37" i="9"/>
  <c r="J37" i="9" s="1"/>
  <c r="L37" i="9" s="1"/>
  <c r="H37" i="9"/>
  <c r="F37" i="9"/>
  <c r="E37" i="9"/>
  <c r="D37" i="9"/>
  <c r="C37" i="9"/>
  <c r="Q36" i="9"/>
  <c r="N36" i="9"/>
  <c r="L36" i="9"/>
  <c r="H36" i="9"/>
  <c r="I36" i="9" s="1"/>
  <c r="J36" i="9" s="1"/>
  <c r="F36" i="9"/>
  <c r="E36" i="9"/>
  <c r="D36" i="9"/>
  <c r="C36" i="9"/>
  <c r="Q35" i="9"/>
  <c r="N35" i="9"/>
  <c r="I35" i="9"/>
  <c r="J35" i="9" s="1"/>
  <c r="H35" i="9"/>
  <c r="F35" i="9"/>
  <c r="E35" i="9"/>
  <c r="D35" i="9"/>
  <c r="C35" i="9"/>
  <c r="O10" i="9"/>
  <c r="O8" i="9"/>
  <c r="O6" i="9"/>
  <c r="O4" i="9"/>
  <c r="N58" i="7"/>
  <c r="Q58" i="7" s="1"/>
  <c r="H58" i="7"/>
  <c r="F58" i="7"/>
  <c r="E58" i="7"/>
  <c r="D58" i="7"/>
  <c r="C58" i="7"/>
  <c r="N57" i="7"/>
  <c r="Q57" i="7" s="1"/>
  <c r="H57" i="7"/>
  <c r="F57" i="7"/>
  <c r="E57" i="7"/>
  <c r="D57" i="7"/>
  <c r="C57" i="7"/>
  <c r="N56" i="7"/>
  <c r="Q56" i="7" s="1"/>
  <c r="H56" i="7"/>
  <c r="F56" i="7"/>
  <c r="E56" i="7"/>
  <c r="D56" i="7"/>
  <c r="C56" i="7"/>
  <c r="N55" i="7"/>
  <c r="Q55" i="7" s="1"/>
  <c r="H55" i="7"/>
  <c r="F55" i="7"/>
  <c r="E55" i="7"/>
  <c r="D55" i="7"/>
  <c r="C55" i="7"/>
  <c r="N54" i="7"/>
  <c r="Q54" i="7" s="1"/>
  <c r="H54" i="7"/>
  <c r="F54" i="7"/>
  <c r="E54" i="7"/>
  <c r="D54" i="7"/>
  <c r="C54" i="7"/>
  <c r="N53" i="7"/>
  <c r="Q53" i="7" s="1"/>
  <c r="H53" i="7"/>
  <c r="F53" i="7"/>
  <c r="E53" i="7"/>
  <c r="D53" i="7"/>
  <c r="C53" i="7"/>
  <c r="N52" i="7"/>
  <c r="Q52" i="7" s="1"/>
  <c r="H52" i="7"/>
  <c r="F52" i="7"/>
  <c r="E52" i="7"/>
  <c r="D52" i="7"/>
  <c r="C52" i="7"/>
  <c r="N51" i="7"/>
  <c r="Q51" i="7" s="1"/>
  <c r="H51" i="7"/>
  <c r="F51" i="7"/>
  <c r="E51" i="7"/>
  <c r="D51" i="7"/>
  <c r="C51" i="7"/>
  <c r="N50" i="7"/>
  <c r="Q50" i="7" s="1"/>
  <c r="H50" i="7"/>
  <c r="F50" i="7"/>
  <c r="E50" i="7"/>
  <c r="D50" i="7"/>
  <c r="C50" i="7"/>
  <c r="N49" i="7"/>
  <c r="Q49" i="7" s="1"/>
  <c r="H49" i="7"/>
  <c r="F49" i="7"/>
  <c r="E49" i="7"/>
  <c r="D49" i="7"/>
  <c r="C49" i="7"/>
  <c r="N48" i="7"/>
  <c r="Q48" i="7" s="1"/>
  <c r="H48" i="7"/>
  <c r="F48" i="7"/>
  <c r="E48" i="7"/>
  <c r="D48" i="7"/>
  <c r="C48" i="7"/>
  <c r="N47" i="7"/>
  <c r="Q47" i="7" s="1"/>
  <c r="H47" i="7"/>
  <c r="F47" i="7"/>
  <c r="E47" i="7"/>
  <c r="D47" i="7"/>
  <c r="C47" i="7"/>
  <c r="Q46" i="7"/>
  <c r="N46" i="7"/>
  <c r="H46" i="7"/>
  <c r="F46" i="7"/>
  <c r="E46" i="7"/>
  <c r="D46" i="7"/>
  <c r="C46" i="7"/>
  <c r="N45" i="7"/>
  <c r="Q45" i="7" s="1"/>
  <c r="H45" i="7"/>
  <c r="F45" i="7"/>
  <c r="E45" i="7"/>
  <c r="D45" i="7"/>
  <c r="C45" i="7"/>
  <c r="N44" i="7"/>
  <c r="Q44" i="7" s="1"/>
  <c r="H44" i="7"/>
  <c r="F44" i="7"/>
  <c r="E44" i="7"/>
  <c r="D44" i="7"/>
  <c r="C44" i="7"/>
  <c r="N43" i="7"/>
  <c r="Q43" i="7" s="1"/>
  <c r="H43" i="7"/>
  <c r="F43" i="7"/>
  <c r="E43" i="7"/>
  <c r="D43" i="7"/>
  <c r="C43" i="7"/>
  <c r="N42" i="7"/>
  <c r="Q42" i="7" s="1"/>
  <c r="H42" i="7"/>
  <c r="F42" i="7"/>
  <c r="E42" i="7"/>
  <c r="D42" i="7"/>
  <c r="C42" i="7"/>
  <c r="N41" i="7"/>
  <c r="Q41" i="7" s="1"/>
  <c r="H41" i="7"/>
  <c r="F41" i="7"/>
  <c r="E41" i="7"/>
  <c r="D41" i="7"/>
  <c r="C41" i="7"/>
  <c r="N40" i="7"/>
  <c r="Q40" i="7" s="1"/>
  <c r="H40" i="7"/>
  <c r="F40" i="7"/>
  <c r="E40" i="7"/>
  <c r="D40" i="7"/>
  <c r="C40" i="7"/>
  <c r="N39" i="7"/>
  <c r="Q39" i="7" s="1"/>
  <c r="H39" i="7"/>
  <c r="F39" i="7"/>
  <c r="E39" i="7"/>
  <c r="D39" i="7"/>
  <c r="C39" i="7"/>
  <c r="N38" i="7"/>
  <c r="Q38" i="7" s="1"/>
  <c r="H38" i="7"/>
  <c r="F38" i="7"/>
  <c r="E38" i="7"/>
  <c r="D38" i="7"/>
  <c r="C38" i="7"/>
  <c r="N37" i="7"/>
  <c r="Q37" i="7" s="1"/>
  <c r="H37" i="7"/>
  <c r="F37" i="7"/>
  <c r="E37" i="7"/>
  <c r="D37" i="7"/>
  <c r="C37" i="7"/>
  <c r="N36" i="7"/>
  <c r="Q36" i="7" s="1"/>
  <c r="H36" i="7"/>
  <c r="F36" i="7"/>
  <c r="E36" i="7"/>
  <c r="D36" i="7"/>
  <c r="C36" i="7"/>
  <c r="AG35" i="7"/>
  <c r="AF35" i="7"/>
  <c r="N35" i="7"/>
  <c r="Q35" i="7" s="1"/>
  <c r="H35" i="7"/>
  <c r="AE35" i="7" s="1"/>
  <c r="F35" i="7"/>
  <c r="E35" i="7"/>
  <c r="D35" i="7"/>
  <c r="C35" i="7"/>
  <c r="O10" i="7"/>
  <c r="O8" i="7"/>
  <c r="O6" i="7"/>
  <c r="O13" i="7" s="1"/>
  <c r="O14" i="7" s="1"/>
  <c r="O4" i="7"/>
  <c r="I56" i="7" s="1"/>
  <c r="J56" i="7" s="1"/>
  <c r="L56" i="7" s="1"/>
  <c r="AF35" i="9" l="1"/>
  <c r="AE35" i="9"/>
  <c r="AG35" i="9"/>
  <c r="O13" i="9"/>
  <c r="O14" i="9" s="1"/>
  <c r="R35" i="9" s="1"/>
  <c r="L35" i="9"/>
  <c r="X35" i="9"/>
  <c r="AH35" i="9"/>
  <c r="I46" i="7"/>
  <c r="J46" i="7" s="1"/>
  <c r="L46" i="7" s="1"/>
  <c r="I51" i="7"/>
  <c r="J51" i="7" s="1"/>
  <c r="L51" i="7" s="1"/>
  <c r="I41" i="7"/>
  <c r="J41" i="7" s="1"/>
  <c r="L41" i="7" s="1"/>
  <c r="I50" i="7"/>
  <c r="J50" i="7" s="1"/>
  <c r="L50" i="7" s="1"/>
  <c r="I40" i="7"/>
  <c r="J40" i="7" s="1"/>
  <c r="L40" i="7" s="1"/>
  <c r="I45" i="7"/>
  <c r="J45" i="7" s="1"/>
  <c r="L45" i="7" s="1"/>
  <c r="I39" i="7"/>
  <c r="J39" i="7" s="1"/>
  <c r="L39" i="7" s="1"/>
  <c r="I49" i="7"/>
  <c r="J49" i="7" s="1"/>
  <c r="L49" i="7" s="1"/>
  <c r="I54" i="7"/>
  <c r="J54" i="7" s="1"/>
  <c r="L54" i="7" s="1"/>
  <c r="I38" i="7"/>
  <c r="J38" i="7" s="1"/>
  <c r="L38" i="7" s="1"/>
  <c r="I53" i="7"/>
  <c r="J53" i="7" s="1"/>
  <c r="L53" i="7" s="1"/>
  <c r="I58" i="7"/>
  <c r="J58" i="7" s="1"/>
  <c r="L58" i="7" s="1"/>
  <c r="I37" i="7"/>
  <c r="J37" i="7" s="1"/>
  <c r="L37" i="7" s="1"/>
  <c r="I43" i="7"/>
  <c r="J43" i="7" s="1"/>
  <c r="L43" i="7" s="1"/>
  <c r="I57" i="7"/>
  <c r="J57" i="7" s="1"/>
  <c r="L57" i="7" s="1"/>
  <c r="I36" i="7"/>
  <c r="J36" i="7" s="1"/>
  <c r="L36" i="7" s="1"/>
  <c r="I42" i="7"/>
  <c r="J42" i="7" s="1"/>
  <c r="L42" i="7" s="1"/>
  <c r="I47" i="7"/>
  <c r="J47" i="7" s="1"/>
  <c r="L47" i="7" s="1"/>
  <c r="AH35" i="7"/>
  <c r="I35" i="7"/>
  <c r="J35" i="7" s="1"/>
  <c r="I55" i="7"/>
  <c r="J55" i="7" s="1"/>
  <c r="L55" i="7" s="1"/>
  <c r="I44" i="7"/>
  <c r="J44" i="7" s="1"/>
  <c r="L44" i="7" s="1"/>
  <c r="I48" i="7"/>
  <c r="J48" i="7" s="1"/>
  <c r="L48" i="7" s="1"/>
  <c r="I52" i="7"/>
  <c r="J52" i="7" s="1"/>
  <c r="L52" i="7" s="1"/>
  <c r="AE36" i="9" l="1"/>
  <c r="T35" i="9"/>
  <c r="R36" i="9"/>
  <c r="S35" i="9"/>
  <c r="AG36" i="9"/>
  <c r="X36" i="9"/>
  <c r="Z35" i="9"/>
  <c r="Y35" i="9"/>
  <c r="AA35" i="9"/>
  <c r="U35" i="9"/>
  <c r="R35" i="7"/>
  <c r="X35" i="7"/>
  <c r="L35" i="7"/>
  <c r="H30" i="2"/>
  <c r="H31" i="2" s="1"/>
  <c r="E30" i="2"/>
  <c r="E31" i="2" s="1"/>
  <c r="J7" i="2"/>
  <c r="J8" i="2"/>
  <c r="J9" i="2"/>
  <c r="J10" i="2"/>
  <c r="J11" i="2"/>
  <c r="J12" i="2"/>
  <c r="J13" i="2"/>
  <c r="J14" i="2"/>
  <c r="J15" i="2"/>
  <c r="J16" i="2"/>
  <c r="J17" i="2"/>
  <c r="J18" i="2"/>
  <c r="J19" i="2"/>
  <c r="J20" i="2"/>
  <c r="J21" i="2"/>
  <c r="J22" i="2"/>
  <c r="J23" i="2"/>
  <c r="J24" i="2"/>
  <c r="J25" i="2"/>
  <c r="J26" i="2"/>
  <c r="J27" i="2"/>
  <c r="J28" i="2"/>
  <c r="J29" i="2"/>
  <c r="G7" i="2"/>
  <c r="G8" i="2"/>
  <c r="G9" i="2"/>
  <c r="G10" i="2"/>
  <c r="G11" i="2"/>
  <c r="G12" i="2"/>
  <c r="G13" i="2"/>
  <c r="G14" i="2"/>
  <c r="G15" i="2"/>
  <c r="G16" i="2"/>
  <c r="G17" i="2"/>
  <c r="G18" i="2"/>
  <c r="G19" i="2"/>
  <c r="G20" i="2"/>
  <c r="G21" i="2"/>
  <c r="G22" i="2"/>
  <c r="G23" i="2"/>
  <c r="G24" i="2"/>
  <c r="G25" i="2"/>
  <c r="G26" i="2"/>
  <c r="G27" i="2"/>
  <c r="G28" i="2"/>
  <c r="G29" i="2"/>
  <c r="J6" i="2"/>
  <c r="G6" i="2"/>
  <c r="AG37" i="9" l="1"/>
  <c r="X37" i="9"/>
  <c r="Y36" i="9"/>
  <c r="U36" i="9"/>
  <c r="W35" i="9"/>
  <c r="V35" i="9"/>
  <c r="AF36" i="9"/>
  <c r="R37" i="9"/>
  <c r="T37" i="9" s="1"/>
  <c r="AE37" i="9"/>
  <c r="S36" i="9"/>
  <c r="AH36" i="9"/>
  <c r="AC35" i="9"/>
  <c r="AA36" i="9"/>
  <c r="AC36" i="9" s="1"/>
  <c r="AB35" i="9"/>
  <c r="Z36" i="9"/>
  <c r="T36" i="9"/>
  <c r="U35" i="7"/>
  <c r="AA35" i="7"/>
  <c r="AG36" i="7"/>
  <c r="Z35" i="7"/>
  <c r="X36" i="7"/>
  <c r="Z36" i="7" s="1"/>
  <c r="Y35" i="7"/>
  <c r="R36" i="7"/>
  <c r="T35" i="7"/>
  <c r="S35" i="7"/>
  <c r="AE36" i="7"/>
  <c r="AG38" i="9" l="1"/>
  <c r="X38" i="9"/>
  <c r="Z38" i="9" s="1"/>
  <c r="Y37" i="9"/>
  <c r="V36" i="9"/>
  <c r="U37" i="9"/>
  <c r="W37" i="9" s="1"/>
  <c r="AF37" i="9"/>
  <c r="AA37" i="9"/>
  <c r="AC37" i="9" s="1"/>
  <c r="AB36" i="9"/>
  <c r="AH37" i="9"/>
  <c r="S37" i="9"/>
  <c r="R38" i="9"/>
  <c r="AE38" i="9"/>
  <c r="W36" i="9"/>
  <c r="Z37" i="9"/>
  <c r="AA36" i="7"/>
  <c r="AC36" i="7" s="1"/>
  <c r="AC35" i="7"/>
  <c r="AB35" i="7"/>
  <c r="AH36" i="7"/>
  <c r="AG37" i="7"/>
  <c r="X37" i="7"/>
  <c r="Z37" i="7" s="1"/>
  <c r="Y36" i="7"/>
  <c r="R37" i="7"/>
  <c r="T37" i="7" s="1"/>
  <c r="S36" i="7"/>
  <c r="AE37" i="7"/>
  <c r="V35" i="7"/>
  <c r="AF36" i="7"/>
  <c r="U36" i="7"/>
  <c r="W35" i="7"/>
  <c r="T36" i="7"/>
  <c r="Y38" i="9" l="1"/>
  <c r="AG39" i="9"/>
  <c r="X39" i="9"/>
  <c r="AH38" i="9"/>
  <c r="AB37" i="9"/>
  <c r="AA38" i="9"/>
  <c r="AC38" i="9" s="1"/>
  <c r="AE39" i="9"/>
  <c r="R39" i="9"/>
  <c r="T39" i="9" s="1"/>
  <c r="S38" i="9"/>
  <c r="T38" i="9"/>
  <c r="V37" i="9"/>
  <c r="AF38" i="9"/>
  <c r="U38" i="9"/>
  <c r="W38" i="9" s="1"/>
  <c r="AF37" i="7"/>
  <c r="U37" i="7"/>
  <c r="W37" i="7" s="1"/>
  <c r="V36" i="7"/>
  <c r="AB36" i="7"/>
  <c r="AH37" i="7"/>
  <c r="AA37" i="7"/>
  <c r="AG38" i="7"/>
  <c r="X38" i="7"/>
  <c r="Z38" i="7" s="1"/>
  <c r="Y37" i="7"/>
  <c r="AE38" i="7"/>
  <c r="R38" i="7"/>
  <c r="T38" i="7" s="1"/>
  <c r="S37" i="7"/>
  <c r="W36" i="7"/>
  <c r="AG40" i="9" l="1"/>
  <c r="X40" i="9"/>
  <c r="Z40" i="9" s="1"/>
  <c r="Y39" i="9"/>
  <c r="AE40" i="9"/>
  <c r="S39" i="9"/>
  <c r="R40" i="9"/>
  <c r="T40" i="9" s="1"/>
  <c r="Z39" i="9"/>
  <c r="AF39" i="9"/>
  <c r="U39" i="9"/>
  <c r="W39" i="9" s="1"/>
  <c r="V38" i="9"/>
  <c r="AB38" i="9"/>
  <c r="AH39" i="9"/>
  <c r="AA39" i="9"/>
  <c r="AF38" i="7"/>
  <c r="U38" i="7"/>
  <c r="V37" i="7"/>
  <c r="AG39" i="7"/>
  <c r="X39" i="7"/>
  <c r="Z39" i="7" s="1"/>
  <c r="Y38" i="7"/>
  <c r="AA38" i="7"/>
  <c r="AH38" i="7"/>
  <c r="AB37" i="7"/>
  <c r="AE39" i="7"/>
  <c r="R39" i="7"/>
  <c r="T39" i="7" s="1"/>
  <c r="S38" i="7"/>
  <c r="AC37" i="7"/>
  <c r="B30" i="2"/>
  <c r="B31" i="2" s="1"/>
  <c r="D6" i="2"/>
  <c r="D7" i="2"/>
  <c r="D8" i="2"/>
  <c r="D9" i="2"/>
  <c r="D10" i="2"/>
  <c r="D11" i="2"/>
  <c r="D12" i="2"/>
  <c r="D13" i="2"/>
  <c r="D14" i="2"/>
  <c r="D15" i="2"/>
  <c r="D16" i="2"/>
  <c r="D17" i="2"/>
  <c r="D18" i="2"/>
  <c r="D19" i="2"/>
  <c r="D20" i="2"/>
  <c r="D21" i="2"/>
  <c r="D22" i="2"/>
  <c r="D23" i="2"/>
  <c r="D24" i="2"/>
  <c r="D25" i="2"/>
  <c r="D26" i="2"/>
  <c r="D27" i="2"/>
  <c r="D28" i="2"/>
  <c r="D29" i="2"/>
  <c r="Y40" i="9" l="1"/>
  <c r="X41" i="9"/>
  <c r="AG41" i="9"/>
  <c r="U40" i="9"/>
  <c r="V39" i="9"/>
  <c r="W40" i="9"/>
  <c r="AF40" i="9"/>
  <c r="R41" i="9"/>
  <c r="T41" i="9" s="1"/>
  <c r="S40" i="9"/>
  <c r="AE41" i="9"/>
  <c r="AA40" i="9"/>
  <c r="AC40" i="9" s="1"/>
  <c r="AB39" i="9"/>
  <c r="AH40" i="9"/>
  <c r="AC39" i="9"/>
  <c r="AF39" i="7"/>
  <c r="U39" i="7"/>
  <c r="V38" i="7"/>
  <c r="AB38" i="7"/>
  <c r="AA39" i="7"/>
  <c r="AH39" i="7"/>
  <c r="W38" i="7"/>
  <c r="AC38" i="7"/>
  <c r="X40" i="7"/>
  <c r="AG40" i="7"/>
  <c r="Y39" i="7"/>
  <c r="R40" i="7"/>
  <c r="T40" i="7" s="1"/>
  <c r="S39" i="7"/>
  <c r="AE40" i="7"/>
  <c r="V40" i="9" l="1"/>
  <c r="AF41" i="9"/>
  <c r="U41" i="9"/>
  <c r="AG42" i="9"/>
  <c r="X42" i="9"/>
  <c r="Z42" i="9" s="1"/>
  <c r="Y41" i="9"/>
  <c r="AA41" i="9"/>
  <c r="AC41" i="9" s="1"/>
  <c r="AB40" i="9"/>
  <c r="AH41" i="9"/>
  <c r="S41" i="9"/>
  <c r="R42" i="9"/>
  <c r="AE42" i="9"/>
  <c r="Z41" i="9"/>
  <c r="AA40" i="7"/>
  <c r="AB39" i="7"/>
  <c r="AH40" i="7"/>
  <c r="AG41" i="7"/>
  <c r="X41" i="7"/>
  <c r="Y40" i="7"/>
  <c r="AC39" i="7"/>
  <c r="U40" i="7"/>
  <c r="W40" i="7" s="1"/>
  <c r="V39" i="7"/>
  <c r="AF40" i="7"/>
  <c r="W39" i="7"/>
  <c r="Z40" i="7"/>
  <c r="R41" i="7"/>
  <c r="T41" i="7" s="1"/>
  <c r="AE41" i="7"/>
  <c r="S40" i="7"/>
  <c r="AE43" i="9" l="1"/>
  <c r="R43" i="9"/>
  <c r="T43" i="9" s="1"/>
  <c r="S42" i="9"/>
  <c r="AF42" i="9"/>
  <c r="V41" i="9"/>
  <c r="U42" i="9"/>
  <c r="W42" i="9" s="1"/>
  <c r="W41" i="9"/>
  <c r="T42" i="9"/>
  <c r="Y42" i="9"/>
  <c r="AG43" i="9"/>
  <c r="X43" i="9"/>
  <c r="AH42" i="9"/>
  <c r="AB41" i="9"/>
  <c r="AA42" i="9"/>
  <c r="AG42" i="7"/>
  <c r="X42" i="7"/>
  <c r="Z42" i="7" s="1"/>
  <c r="Y41" i="7"/>
  <c r="AF41" i="7"/>
  <c r="U41" i="7"/>
  <c r="W41" i="7" s="1"/>
  <c r="V40" i="7"/>
  <c r="AA41" i="7"/>
  <c r="AC41" i="7" s="1"/>
  <c r="AB40" i="7"/>
  <c r="AH41" i="7"/>
  <c r="Z41" i="7"/>
  <c r="AC40" i="7"/>
  <c r="S41" i="7"/>
  <c r="AE42" i="7"/>
  <c r="R42" i="7"/>
  <c r="T42" i="7" s="1"/>
  <c r="AF43" i="9" l="1"/>
  <c r="U43" i="9"/>
  <c r="V42" i="9"/>
  <c r="AG44" i="9"/>
  <c r="X44" i="9"/>
  <c r="Y43" i="9"/>
  <c r="AE44" i="9"/>
  <c r="S43" i="9"/>
  <c r="R44" i="9"/>
  <c r="Z43" i="9"/>
  <c r="AB42" i="9"/>
  <c r="AH43" i="9"/>
  <c r="AA43" i="9"/>
  <c r="AC43" i="9" s="1"/>
  <c r="AC42" i="9"/>
  <c r="AF42" i="7"/>
  <c r="V41" i="7"/>
  <c r="U42" i="7"/>
  <c r="W42" i="7" s="1"/>
  <c r="AE43" i="7"/>
  <c r="R43" i="7"/>
  <c r="T43" i="7" s="1"/>
  <c r="S42" i="7"/>
  <c r="Y42" i="7"/>
  <c r="AG43" i="7"/>
  <c r="X43" i="7"/>
  <c r="AH42" i="7"/>
  <c r="AA42" i="7"/>
  <c r="AB41" i="7"/>
  <c r="AG45" i="9" l="1"/>
  <c r="Y44" i="9"/>
  <c r="X45" i="9"/>
  <c r="S44" i="9"/>
  <c r="R45" i="9"/>
  <c r="T45" i="9" s="1"/>
  <c r="AE45" i="9"/>
  <c r="U44" i="9"/>
  <c r="W44" i="9" s="1"/>
  <c r="V43" i="9"/>
  <c r="AF44" i="9"/>
  <c r="Z44" i="9"/>
  <c r="W43" i="9"/>
  <c r="AA44" i="9"/>
  <c r="AB43" i="9"/>
  <c r="AH44" i="9"/>
  <c r="T44" i="9"/>
  <c r="AB42" i="7"/>
  <c r="AA43" i="7"/>
  <c r="AH43" i="7"/>
  <c r="R44" i="7"/>
  <c r="T44" i="7" s="1"/>
  <c r="S43" i="7"/>
  <c r="AE44" i="7"/>
  <c r="AG44" i="7"/>
  <c r="X44" i="7"/>
  <c r="Y43" i="7"/>
  <c r="Z43" i="7"/>
  <c r="AC42" i="7"/>
  <c r="AF43" i="7"/>
  <c r="U43" i="7"/>
  <c r="W43" i="7" s="1"/>
  <c r="V42" i="7"/>
  <c r="S45" i="9" l="1"/>
  <c r="R46" i="9"/>
  <c r="T46" i="9" s="1"/>
  <c r="AE46" i="9"/>
  <c r="AA45" i="9"/>
  <c r="AC45" i="9" s="1"/>
  <c r="AB44" i="9"/>
  <c r="AH45" i="9"/>
  <c r="AC44" i="9"/>
  <c r="AG46" i="9"/>
  <c r="X46" i="9"/>
  <c r="Z46" i="9" s="1"/>
  <c r="Y45" i="9"/>
  <c r="V44" i="9"/>
  <c r="AF45" i="9"/>
  <c r="U45" i="9"/>
  <c r="W45" i="9" s="1"/>
  <c r="Z45" i="9"/>
  <c r="AA44" i="7"/>
  <c r="AB43" i="7"/>
  <c r="AH44" i="7"/>
  <c r="R45" i="7"/>
  <c r="T45" i="7" s="1"/>
  <c r="S44" i="7"/>
  <c r="AE45" i="7"/>
  <c r="AG45" i="7"/>
  <c r="X45" i="7"/>
  <c r="Y44" i="7"/>
  <c r="Z44" i="7"/>
  <c r="AC43" i="7"/>
  <c r="U44" i="7"/>
  <c r="V43" i="7"/>
  <c r="AF44" i="7"/>
  <c r="AH46" i="9" l="1"/>
  <c r="AB45" i="9"/>
  <c r="AA46" i="9"/>
  <c r="Y46" i="9"/>
  <c r="AG47" i="9"/>
  <c r="X47" i="9"/>
  <c r="AE47" i="9"/>
  <c r="R47" i="9"/>
  <c r="T47" i="9" s="1"/>
  <c r="S46" i="9"/>
  <c r="V45" i="9"/>
  <c r="AF46" i="9"/>
  <c r="U46" i="9"/>
  <c r="W46" i="9" s="1"/>
  <c r="AF45" i="7"/>
  <c r="U45" i="7"/>
  <c r="V44" i="7"/>
  <c r="S45" i="7"/>
  <c r="AE46" i="7"/>
  <c r="R46" i="7"/>
  <c r="T46" i="7" s="1"/>
  <c r="AA45" i="7"/>
  <c r="AC45" i="7" s="1"/>
  <c r="AB44" i="7"/>
  <c r="AH45" i="7"/>
  <c r="AG46" i="7"/>
  <c r="X46" i="7"/>
  <c r="Y45" i="7"/>
  <c r="W44" i="7"/>
  <c r="Z45" i="7"/>
  <c r="AC44" i="7"/>
  <c r="AF47" i="9" l="1"/>
  <c r="U47" i="9"/>
  <c r="V46" i="9"/>
  <c r="AE48" i="9"/>
  <c r="S47" i="9"/>
  <c r="R48" i="9"/>
  <c r="T48" i="9" s="1"/>
  <c r="AG48" i="9"/>
  <c r="X48" i="9"/>
  <c r="Z48" i="9" s="1"/>
  <c r="Y47" i="9"/>
  <c r="Z47" i="9"/>
  <c r="AB46" i="9"/>
  <c r="AH47" i="9"/>
  <c r="AA47" i="9"/>
  <c r="AC47" i="9" s="1"/>
  <c r="AC46" i="9"/>
  <c r="AE47" i="7"/>
  <c r="R47" i="7"/>
  <c r="S46" i="7"/>
  <c r="AF46" i="7"/>
  <c r="U46" i="7"/>
  <c r="V45" i="7"/>
  <c r="Y46" i="7"/>
  <c r="AG47" i="7"/>
  <c r="X47" i="7"/>
  <c r="Z47" i="7" s="1"/>
  <c r="W45" i="7"/>
  <c r="Z46" i="7"/>
  <c r="AH46" i="7"/>
  <c r="AA46" i="7"/>
  <c r="AC46" i="7" s="1"/>
  <c r="AB45" i="7"/>
  <c r="U48" i="9" l="1"/>
  <c r="W48" i="9" s="1"/>
  <c r="V47" i="9"/>
  <c r="AF48" i="9"/>
  <c r="AG49" i="9"/>
  <c r="Y48" i="9"/>
  <c r="X49" i="9"/>
  <c r="W47" i="9"/>
  <c r="R49" i="9"/>
  <c r="T49" i="9" s="1"/>
  <c r="AE49" i="9"/>
  <c r="S48" i="9"/>
  <c r="AA48" i="9"/>
  <c r="AB47" i="9"/>
  <c r="AH48" i="9"/>
  <c r="AF47" i="7"/>
  <c r="U47" i="7"/>
  <c r="V46" i="7"/>
  <c r="R48" i="7"/>
  <c r="S47" i="7"/>
  <c r="AE48" i="7"/>
  <c r="W46" i="7"/>
  <c r="T47" i="7"/>
  <c r="AG48" i="7"/>
  <c r="X48" i="7"/>
  <c r="Y47" i="7"/>
  <c r="AA47" i="7"/>
  <c r="AB46" i="7"/>
  <c r="AH47" i="7"/>
  <c r="AG50" i="9" l="1"/>
  <c r="X50" i="9"/>
  <c r="Z50" i="9" s="1"/>
  <c r="Y49" i="9"/>
  <c r="Z49" i="9"/>
  <c r="AA49" i="9"/>
  <c r="AH49" i="9"/>
  <c r="AB48" i="9"/>
  <c r="AC48" i="9"/>
  <c r="S49" i="9"/>
  <c r="R50" i="9"/>
  <c r="AE50" i="9"/>
  <c r="V48" i="9"/>
  <c r="AF49" i="9"/>
  <c r="U49" i="9"/>
  <c r="AA48" i="7"/>
  <c r="AB47" i="7"/>
  <c r="AH48" i="7"/>
  <c r="AC47" i="7"/>
  <c r="AG49" i="7"/>
  <c r="X49" i="7"/>
  <c r="Y48" i="7"/>
  <c r="Z48" i="7"/>
  <c r="U48" i="7"/>
  <c r="W48" i="7" s="1"/>
  <c r="V47" i="7"/>
  <c r="AF48" i="7"/>
  <c r="R49" i="7"/>
  <c r="S48" i="7"/>
  <c r="AE49" i="7"/>
  <c r="W47" i="7"/>
  <c r="T48" i="7"/>
  <c r="AE51" i="9" l="1"/>
  <c r="R51" i="9"/>
  <c r="T51" i="9" s="1"/>
  <c r="S50" i="9"/>
  <c r="AF50" i="9"/>
  <c r="V49" i="9"/>
  <c r="U50" i="9"/>
  <c r="W50" i="9" s="1"/>
  <c r="Y50" i="9"/>
  <c r="AG51" i="9"/>
  <c r="X51" i="9"/>
  <c r="AH50" i="9"/>
  <c r="AB49" i="9"/>
  <c r="AA50" i="9"/>
  <c r="T50" i="9"/>
  <c r="W49" i="9"/>
  <c r="AC49" i="9"/>
  <c r="AG50" i="7"/>
  <c r="X50" i="7"/>
  <c r="Z50" i="7" s="1"/>
  <c r="Y49" i="7"/>
  <c r="Z49" i="7"/>
  <c r="AF49" i="7"/>
  <c r="U49" i="7"/>
  <c r="W49" i="7" s="1"/>
  <c r="V48" i="7"/>
  <c r="AA49" i="7"/>
  <c r="AC49" i="7" s="1"/>
  <c r="AB48" i="7"/>
  <c r="AH49" i="7"/>
  <c r="S49" i="7"/>
  <c r="AE50" i="7"/>
  <c r="R50" i="7"/>
  <c r="T50" i="7" s="1"/>
  <c r="T49" i="7"/>
  <c r="AC48" i="7"/>
  <c r="AB50" i="9" l="1"/>
  <c r="AA51" i="9"/>
  <c r="AH51" i="9"/>
  <c r="AC50" i="9"/>
  <c r="AF51" i="9"/>
  <c r="U51" i="9"/>
  <c r="V50" i="9"/>
  <c r="AG52" i="9"/>
  <c r="X52" i="9"/>
  <c r="Z52" i="9" s="1"/>
  <c r="Y51" i="9"/>
  <c r="Z51" i="9"/>
  <c r="AE52" i="9"/>
  <c r="S51" i="9"/>
  <c r="R52" i="9"/>
  <c r="T52" i="9" s="1"/>
  <c r="AF50" i="7"/>
  <c r="U50" i="7"/>
  <c r="V49" i="7"/>
  <c r="AH50" i="7"/>
  <c r="AA50" i="7"/>
  <c r="AB49" i="7"/>
  <c r="Y50" i="7"/>
  <c r="AG51" i="7"/>
  <c r="X51" i="7"/>
  <c r="AE51" i="7"/>
  <c r="R51" i="7"/>
  <c r="T51" i="7" s="1"/>
  <c r="S50" i="7"/>
  <c r="AA52" i="9" l="1"/>
  <c r="AH52" i="9"/>
  <c r="AB51" i="9"/>
  <c r="U52" i="9"/>
  <c r="V51" i="9"/>
  <c r="AF52" i="9"/>
  <c r="W52" i="9"/>
  <c r="R53" i="9"/>
  <c r="T53" i="9" s="1"/>
  <c r="AE53" i="9"/>
  <c r="S52" i="9"/>
  <c r="W51" i="9"/>
  <c r="X53" i="9"/>
  <c r="Z53" i="9" s="1"/>
  <c r="Y52" i="9"/>
  <c r="AG53" i="9"/>
  <c r="AC51" i="9"/>
  <c r="AA51" i="7"/>
  <c r="AB50" i="7"/>
  <c r="AH51" i="7"/>
  <c r="AF51" i="7"/>
  <c r="U51" i="7"/>
  <c r="W51" i="7" s="1"/>
  <c r="V50" i="7"/>
  <c r="AC50" i="7"/>
  <c r="W50" i="7"/>
  <c r="R52" i="7"/>
  <c r="S51" i="7"/>
  <c r="AE52" i="7"/>
  <c r="AG52" i="7"/>
  <c r="X52" i="7"/>
  <c r="Z52" i="7" s="1"/>
  <c r="Y51" i="7"/>
  <c r="Z51" i="7"/>
  <c r="AG54" i="9" l="1"/>
  <c r="X54" i="9"/>
  <c r="Z54" i="9" s="1"/>
  <c r="Y53" i="9"/>
  <c r="U53" i="9"/>
  <c r="W53" i="9" s="1"/>
  <c r="V52" i="9"/>
  <c r="AF53" i="9"/>
  <c r="AA53" i="9"/>
  <c r="AC53" i="9" s="1"/>
  <c r="AB52" i="9"/>
  <c r="AH53" i="9"/>
  <c r="S53" i="9"/>
  <c r="R54" i="9"/>
  <c r="T54" i="9" s="1"/>
  <c r="AE54" i="9"/>
  <c r="AC52" i="9"/>
  <c r="R53" i="7"/>
  <c r="T53" i="7" s="1"/>
  <c r="S52" i="7"/>
  <c r="AE53" i="7"/>
  <c r="T52" i="7"/>
  <c r="AA52" i="7"/>
  <c r="AB51" i="7"/>
  <c r="AH52" i="7"/>
  <c r="U52" i="7"/>
  <c r="W52" i="7" s="1"/>
  <c r="V51" i="7"/>
  <c r="AF52" i="7"/>
  <c r="AG53" i="7"/>
  <c r="X53" i="7"/>
  <c r="Y52" i="7"/>
  <c r="AC51" i="7"/>
  <c r="V53" i="9" l="1"/>
  <c r="AF54" i="9"/>
  <c r="U54" i="9"/>
  <c r="Y54" i="9"/>
  <c r="AG55" i="9"/>
  <c r="X55" i="9"/>
  <c r="AE55" i="9"/>
  <c r="R55" i="9"/>
  <c r="T55" i="9" s="1"/>
  <c r="S54" i="9"/>
  <c r="AH54" i="9"/>
  <c r="AA54" i="9"/>
  <c r="AC54" i="9" s="1"/>
  <c r="AB53" i="9"/>
  <c r="AG54" i="7"/>
  <c r="X54" i="7"/>
  <c r="Z54" i="7" s="1"/>
  <c r="Y53" i="7"/>
  <c r="Z53" i="7"/>
  <c r="AA53" i="7"/>
  <c r="AB52" i="7"/>
  <c r="AH53" i="7"/>
  <c r="AF53" i="7"/>
  <c r="U53" i="7"/>
  <c r="W53" i="7" s="1"/>
  <c r="V52" i="7"/>
  <c r="AC52" i="7"/>
  <c r="S53" i="7"/>
  <c r="AE54" i="7"/>
  <c r="R54" i="7"/>
  <c r="AG56" i="9" l="1"/>
  <c r="X56" i="9"/>
  <c r="Z56" i="9" s="1"/>
  <c r="Y55" i="9"/>
  <c r="AF55" i="9"/>
  <c r="U55" i="9"/>
  <c r="W55" i="9" s="1"/>
  <c r="V54" i="9"/>
  <c r="AB54" i="9"/>
  <c r="AH55" i="9"/>
  <c r="AA55" i="9"/>
  <c r="AC55" i="9" s="1"/>
  <c r="W54" i="9"/>
  <c r="Z55" i="9"/>
  <c r="AE56" i="9"/>
  <c r="S55" i="9"/>
  <c r="R56" i="9"/>
  <c r="T56" i="9" s="1"/>
  <c r="AH54" i="7"/>
  <c r="AA54" i="7"/>
  <c r="AB53" i="7"/>
  <c r="AF54" i="7"/>
  <c r="U54" i="7"/>
  <c r="W54" i="7" s="1"/>
  <c r="V53" i="7"/>
  <c r="Y54" i="7"/>
  <c r="AG55" i="7"/>
  <c r="X55" i="7"/>
  <c r="Z55" i="7" s="1"/>
  <c r="AE55" i="7"/>
  <c r="R55" i="7"/>
  <c r="T55" i="7" s="1"/>
  <c r="S54" i="7"/>
  <c r="T54" i="7"/>
  <c r="AC53" i="7"/>
  <c r="AG57" i="9" l="1"/>
  <c r="X57" i="9"/>
  <c r="Y56" i="9"/>
  <c r="U56" i="9"/>
  <c r="V55" i="9"/>
  <c r="AF56" i="9"/>
  <c r="W56" i="9"/>
  <c r="AA56" i="9"/>
  <c r="AH56" i="9"/>
  <c r="AB55" i="9"/>
  <c r="R57" i="9"/>
  <c r="T57" i="9" s="1"/>
  <c r="AE57" i="9"/>
  <c r="S56" i="9"/>
  <c r="R56" i="7"/>
  <c r="S55" i="7"/>
  <c r="AE56" i="7"/>
  <c r="AA55" i="7"/>
  <c r="AB54" i="7"/>
  <c r="AH55" i="7"/>
  <c r="AC54" i="7"/>
  <c r="AF55" i="7"/>
  <c r="U55" i="7"/>
  <c r="W55" i="7" s="1"/>
  <c r="V54" i="7"/>
  <c r="AG56" i="7"/>
  <c r="X56" i="7"/>
  <c r="Z56" i="7" s="1"/>
  <c r="Y55" i="7"/>
  <c r="U57" i="9" l="1"/>
  <c r="W57" i="9" s="1"/>
  <c r="V56" i="9"/>
  <c r="AF57" i="9"/>
  <c r="Y57" i="9"/>
  <c r="AG58" i="9"/>
  <c r="X58" i="9"/>
  <c r="Y58" i="9" s="1"/>
  <c r="S57" i="9"/>
  <c r="R58" i="9"/>
  <c r="S58" i="9" s="1"/>
  <c r="AE58" i="9"/>
  <c r="AA57" i="9"/>
  <c r="AC57" i="9" s="1"/>
  <c r="AB56" i="9"/>
  <c r="AH57" i="9"/>
  <c r="AC56" i="9"/>
  <c r="Z57" i="9"/>
  <c r="AA56" i="7"/>
  <c r="AB55" i="7"/>
  <c r="AH56" i="7"/>
  <c r="AC55" i="7"/>
  <c r="U56" i="7"/>
  <c r="V55" i="7"/>
  <c r="AF56" i="7"/>
  <c r="R57" i="7"/>
  <c r="T57" i="7" s="1"/>
  <c r="S56" i="7"/>
  <c r="AE57" i="7"/>
  <c r="AG57" i="7"/>
  <c r="X57" i="7"/>
  <c r="Y56" i="7"/>
  <c r="T56" i="7"/>
  <c r="Z58" i="9" l="1"/>
  <c r="Z59" i="9" s="1"/>
  <c r="Z61" i="9" s="1"/>
  <c r="Z60" i="9" s="1"/>
  <c r="AH58" i="9"/>
  <c r="AA58" i="9"/>
  <c r="AB58" i="9" s="1"/>
  <c r="AB57" i="9"/>
  <c r="T58" i="9"/>
  <c r="T59" i="9" s="1"/>
  <c r="AF58" i="9"/>
  <c r="V57" i="9"/>
  <c r="U58" i="9"/>
  <c r="V58" i="9" s="1"/>
  <c r="AG58" i="7"/>
  <c r="X58" i="7"/>
  <c r="Y58" i="7" s="1"/>
  <c r="Y57" i="7"/>
  <c r="AF57" i="7"/>
  <c r="U57" i="7"/>
  <c r="W57" i="7" s="1"/>
  <c r="V56" i="7"/>
  <c r="AA57" i="7"/>
  <c r="AC57" i="7" s="1"/>
  <c r="AB56" i="7"/>
  <c r="AH57" i="7"/>
  <c r="Z57" i="7"/>
  <c r="S57" i="7"/>
  <c r="AE58" i="7"/>
  <c r="R58" i="7"/>
  <c r="S58" i="7" s="1"/>
  <c r="W56" i="7"/>
  <c r="AC56" i="7"/>
  <c r="AC58" i="9" l="1"/>
  <c r="AC59" i="9" s="1"/>
  <c r="AC61" i="9" s="1"/>
  <c r="AC60" i="9" s="1"/>
  <c r="Z62" i="9"/>
  <c r="T61" i="9"/>
  <c r="T60" i="9" s="1"/>
  <c r="T62" i="9"/>
  <c r="W58" i="9"/>
  <c r="W59" i="9" s="1"/>
  <c r="T58" i="7"/>
  <c r="T59" i="7" s="1"/>
  <c r="T61" i="7" s="1"/>
  <c r="T60" i="7" s="1"/>
  <c r="Z58" i="7"/>
  <c r="Z59" i="7" s="1"/>
  <c r="AF58" i="7"/>
  <c r="U58" i="7"/>
  <c r="V58" i="7" s="1"/>
  <c r="V57" i="7"/>
  <c r="AH58" i="7"/>
  <c r="AA58" i="7"/>
  <c r="AB58" i="7" s="1"/>
  <c r="AB57" i="7"/>
  <c r="AC62" i="9" l="1"/>
  <c r="W61" i="9"/>
  <c r="W60" i="9" s="1"/>
  <c r="W62" i="9"/>
  <c r="T62" i="7"/>
  <c r="W58" i="7"/>
  <c r="W59" i="7" s="1"/>
  <c r="Z61" i="7"/>
  <c r="Z60" i="7" s="1"/>
  <c r="Z62" i="7"/>
  <c r="AC58" i="7"/>
  <c r="AC59" i="7" s="1"/>
  <c r="AC61" i="7" l="1"/>
  <c r="AC60" i="7" s="1"/>
  <c r="AC62" i="7"/>
  <c r="W61" i="7"/>
  <c r="W60" i="7" s="1"/>
  <c r="W6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9" authorId="0" shapeId="0" xr:uid="{2AFB0BCD-F721-4E67-8FFE-B876363620E3}">
      <text>
        <r>
          <rPr>
            <sz val="11"/>
            <color indexed="81"/>
            <rFont val="Tahoma"/>
            <family val="2"/>
          </rPr>
          <t>Perpendicular distance (ft) from the outside lane line of the outside lane to nearest obstruction.</t>
        </r>
      </text>
    </comment>
    <comment ref="I12" authorId="0" shapeId="0" xr:uid="{022CD3A5-E817-4CFB-957A-A04DEE579024}">
      <text>
        <r>
          <rPr>
            <sz val="11"/>
            <color indexed="81"/>
            <rFont val="Tahoma"/>
            <family val="2"/>
          </rPr>
          <t>This miles per hour adjustment of the free flow speed can be used to reflect a work zone speed zone with all lanes open.
This miles per hour adjustment can also be used to adjust the calculated FFS to that of an observed FFS.</t>
        </r>
      </text>
    </comment>
    <comment ref="I18" authorId="0" shapeId="0" xr:uid="{5864D6A8-B68F-4FD4-B678-5A361DBE256A}">
      <text>
        <r>
          <rPr>
            <sz val="11"/>
            <color indexed="81"/>
            <rFont val="Tahoma"/>
            <family val="2"/>
          </rPr>
          <t>The 2010 HCM recommends an intesity adustment as follows:
+160 for the lightest intensity. Examples: guardrail repair/installation, median cleanup
+80 for light intensity. Examples: pothole repair, bridge deck patching, bridge deck inspection and maintenance, barrier wall erection
0 for average intensity. Examples: resurfacing/asphalt removal, paving (w/light equipment activity), milling (w/light equipment activity)
-80 for heavy  intensity. Examples:  stripping/slide removal, paving (w/heavy equipment activity), milling (w/heavy equipment activity), bridge widening (w/light equipment activity)
-160 for the heaviest intensity. Examples: pavement marking, final striping, concrete paving (w/heavy equipment activity), bridge repair, bridge widening (w/heavy equipment activity)</t>
        </r>
      </text>
    </comment>
    <comment ref="I19" authorId="0" shapeId="0" xr:uid="{74F0CB5A-BB78-41EA-BFCE-179CA93B4C18}">
      <text>
        <r>
          <rPr>
            <sz val="11"/>
            <color indexed="81"/>
            <rFont val="Tahoma"/>
            <family val="2"/>
          </rPr>
          <t>Adjust the  base capacity to account for local/district/state differences from 1600 pcphpl. The capacity data collected in Ohio during the 2013 and 2014 construction had an average capacity of 1200 pcphpl, thus supporting an calibration adjustment of -400 pcphpl for Ohio.</t>
        </r>
      </text>
    </comment>
    <comment ref="I21" authorId="0" shapeId="0" xr:uid="{17DAFB79-1C1C-4618-A87E-6C5C3A0CB826}">
      <text>
        <r>
          <rPr>
            <sz val="11"/>
            <color indexed="81"/>
            <rFont val="Tahoma"/>
            <family val="2"/>
          </rPr>
          <t>The number of lanes (one direction) remaining open is calculated for each time interval based on the number of lanes specified for the basic freeway segment and the number of lanes closed for each time interval.</t>
        </r>
      </text>
    </comment>
    <comment ref="I22" authorId="0" shapeId="0" xr:uid="{D57E46CE-1EE4-471A-BF72-4087884B09D6}">
      <text>
        <r>
          <rPr>
            <sz val="11"/>
            <color indexed="81"/>
            <rFont val="Tahoma"/>
            <family val="2"/>
          </rPr>
          <t>Reduction in main line capacity for an entrance ramp should not exceed the entrance ramp volume or 1/2 the single lane capacity of the mainline.</t>
        </r>
      </text>
    </comment>
    <comment ref="F25" authorId="0" shapeId="0" xr:uid="{FABF0FF8-9BB2-46B0-B48A-97D03BCA3D7E}">
      <text>
        <r>
          <rPr>
            <b/>
            <sz val="11"/>
            <color indexed="81"/>
            <rFont val="Tahoma"/>
            <family val="2"/>
          </rPr>
          <t>Diversion threshold</t>
        </r>
        <r>
          <rPr>
            <sz val="11"/>
            <color indexed="81"/>
            <rFont val="Tahoma"/>
            <family val="2"/>
          </rPr>
          <t xml:space="preserve"> ODOT uses a default diversion threshold value of 1000 pcph. </t>
        </r>
        <r>
          <rPr>
            <sz val="9"/>
            <color indexed="81"/>
            <rFont val="Tahoma"/>
            <family val="2"/>
          </rPr>
          <t xml:space="preserve">
</t>
        </r>
      </text>
    </comment>
    <comment ref="P25" authorId="0" shapeId="0" xr:uid="{382B4DE1-1A91-4640-B249-A904764EB693}">
      <text>
        <r>
          <rPr>
            <b/>
            <sz val="11"/>
            <color indexed="81"/>
            <rFont val="Tahoma"/>
            <family val="2"/>
          </rPr>
          <t xml:space="preserve">Average minimum headway </t>
        </r>
        <r>
          <rPr>
            <sz val="11"/>
            <color indexed="81"/>
            <rFont val="Tahoma"/>
            <family val="2"/>
          </rPr>
          <t xml:space="preserve">The default value for the average minimum headway of passenger cars in queue is 20 ft.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9" authorId="0" shapeId="0" xr:uid="{6DCC9EB5-1ACF-43AD-97F8-2BA5971F55F3}">
      <text>
        <r>
          <rPr>
            <sz val="11"/>
            <color indexed="81"/>
            <rFont val="Tahoma"/>
            <family val="2"/>
          </rPr>
          <t>Perpendicular distance (ft) from the outside lane line of the outside lane to nearest obstruction.</t>
        </r>
      </text>
    </comment>
    <comment ref="I12" authorId="0" shapeId="0" xr:uid="{3C3E183D-0C26-4A19-8A82-6D27F5BED85A}">
      <text>
        <r>
          <rPr>
            <sz val="11"/>
            <color indexed="81"/>
            <rFont val="Tahoma"/>
            <family val="2"/>
          </rPr>
          <t>This miles per hour adjustment of the free flow speed can be used to reflect a work zone speed zone with all lanes open.
This miles per hour adjustment can also be used to adjust the calculated FFS to that of an observed FFS.</t>
        </r>
      </text>
    </comment>
    <comment ref="I18" authorId="0" shapeId="0" xr:uid="{44887A8E-F07F-4D44-A2C6-8B43BEB6B5EF}">
      <text>
        <r>
          <rPr>
            <sz val="11"/>
            <color indexed="81"/>
            <rFont val="Tahoma"/>
            <family val="2"/>
          </rPr>
          <t>The 2010 HCM recommends an intesity adustment as follows:
+160 for the lightest intensity. Examples: guardrail repair/installation, median cleanup
+80 for light intensity. Examples: pothole repair, bridge deck patching, bridge deck inspection and maintenance, barrier wall erection
0 for average intensity. Examples: resurfacing/asphalt removal, paving (w/light equipment activity), milling (w/light equipment activity)
-80 for heavy  intensity. Examples:  stripping/slide removal, paving (w/heavy equipment activity), milling (w/heavy equipment activity), bridge widening (w/light equipment activity)
-160 for the heaviest intensity. Examples: pavement marking, final striping, concrete paving (w/heavy equipment activity), bridge repair, bridge widening (w/heavy equipment activity)</t>
        </r>
      </text>
    </comment>
    <comment ref="I19" authorId="0" shapeId="0" xr:uid="{763A3CD7-8D65-4A03-A03D-75FDE3064861}">
      <text>
        <r>
          <rPr>
            <sz val="11"/>
            <color indexed="81"/>
            <rFont val="Tahoma"/>
            <family val="2"/>
          </rPr>
          <t>Adjust the  base capacity to account for local/district/state differences from 1600 pcphpl. The capacity data collected in Ohio during the 2013 and 2014 construction had an average capacity of 1200 pcphpl, thus supporting an calibration adjustment of -400 pcphpl for Ohio.</t>
        </r>
      </text>
    </comment>
    <comment ref="I21" authorId="0" shapeId="0" xr:uid="{75DB2644-A34C-40BE-88B2-EA258290E857}">
      <text>
        <r>
          <rPr>
            <sz val="11"/>
            <color indexed="81"/>
            <rFont val="Tahoma"/>
            <family val="2"/>
          </rPr>
          <t>The number of lanes (one direction) remaining open is calculated for each time interval based on the number of lanes specified for the basic freeway segment and the number of lanes closed for each time interval.</t>
        </r>
      </text>
    </comment>
    <comment ref="I22" authorId="0" shapeId="0" xr:uid="{0FF305F2-ECA1-4D3E-9809-52F686A4CC83}">
      <text>
        <r>
          <rPr>
            <sz val="11"/>
            <color indexed="81"/>
            <rFont val="Tahoma"/>
            <family val="2"/>
          </rPr>
          <t>Reduction in main line capacity for an entrance ramp should not exceed the entrance ramp volume or 1/2 the single lane capacity of the mainline.</t>
        </r>
      </text>
    </comment>
    <comment ref="F25" authorId="0" shapeId="0" xr:uid="{186D717A-8575-476B-BC6B-E78122C1986B}">
      <text>
        <r>
          <rPr>
            <b/>
            <sz val="11"/>
            <color indexed="81"/>
            <rFont val="Tahoma"/>
            <family val="2"/>
          </rPr>
          <t>Diversion threshold</t>
        </r>
        <r>
          <rPr>
            <sz val="11"/>
            <color indexed="81"/>
            <rFont val="Tahoma"/>
            <family val="2"/>
          </rPr>
          <t xml:space="preserve"> ODOT uses a default diversion threshold value of 1000 pcph. </t>
        </r>
        <r>
          <rPr>
            <sz val="9"/>
            <color indexed="81"/>
            <rFont val="Tahoma"/>
            <family val="2"/>
          </rPr>
          <t xml:space="preserve">
</t>
        </r>
      </text>
    </comment>
    <comment ref="P25" authorId="0" shapeId="0" xr:uid="{087D7726-1CEA-470F-BC59-166240DDB722}">
      <text>
        <r>
          <rPr>
            <b/>
            <sz val="11"/>
            <color indexed="81"/>
            <rFont val="Tahoma"/>
            <family val="2"/>
          </rPr>
          <t xml:space="preserve">Average minimum headway </t>
        </r>
        <r>
          <rPr>
            <sz val="11"/>
            <color indexed="81"/>
            <rFont val="Tahoma"/>
            <family val="2"/>
          </rPr>
          <t xml:space="preserve">The default value for the average minimum headway of passenger cars in queue is 20 ft. </t>
        </r>
      </text>
    </comment>
  </commentList>
</comments>
</file>

<file path=xl/sharedStrings.xml><?xml version="1.0" encoding="utf-8"?>
<sst xmlns="http://schemas.openxmlformats.org/spreadsheetml/2006/main" count="513" uniqueCount="178">
  <si>
    <t>Date:</t>
  </si>
  <si>
    <t>Analyst:</t>
  </si>
  <si>
    <t>TIME</t>
  </si>
  <si>
    <t>volume</t>
  </si>
  <si>
    <t>closed</t>
  </si>
  <si>
    <t>Estimated</t>
  </si>
  <si>
    <t>ft</t>
  </si>
  <si>
    <t>Diversion</t>
  </si>
  <si>
    <t>volumes</t>
  </si>
  <si>
    <t>Number</t>
  </si>
  <si>
    <t>lanes</t>
  </si>
  <si>
    <t>Capacity</t>
  </si>
  <si>
    <t>(%)</t>
  </si>
  <si>
    <t>Notes:</t>
  </si>
  <si>
    <t>0:00-1:00</t>
  </si>
  <si>
    <t>1:00-2:00</t>
  </si>
  <si>
    <t>2:00-3:00</t>
  </si>
  <si>
    <t>3:00-4:00</t>
  </si>
  <si>
    <t>4:00-5:00</t>
  </si>
  <si>
    <t>5:00-6:00</t>
  </si>
  <si>
    <t>6:00-7:00</t>
  </si>
  <si>
    <t>7:00-8:00</t>
  </si>
  <si>
    <t>8:00-9:00</t>
  </si>
  <si>
    <t>9:00-10:00</t>
  </si>
  <si>
    <t>10:00-11:00</t>
  </si>
  <si>
    <t>11:00-12:00</t>
  </si>
  <si>
    <t>12:00-13:00</t>
  </si>
  <si>
    <t>13:00-14:00</t>
  </si>
  <si>
    <t>14:00-15:00</t>
  </si>
  <si>
    <t>15:00-16:00</t>
  </si>
  <si>
    <t>16:00-17:00</t>
  </si>
  <si>
    <t>17:00-18:00</t>
  </si>
  <si>
    <t>18:00-19:00</t>
  </si>
  <si>
    <t>19:00-20:00</t>
  </si>
  <si>
    <t>20:00-21:00</t>
  </si>
  <si>
    <t>21:00-22:00</t>
  </si>
  <si>
    <t>22:00-23:00</t>
  </si>
  <si>
    <t>23:00-24:00</t>
  </si>
  <si>
    <r>
      <t>Adjustment for lane width, f</t>
    </r>
    <r>
      <rPr>
        <vertAlign val="subscript"/>
        <sz val="11"/>
        <color theme="1"/>
        <rFont val="Calibri"/>
        <family val="2"/>
        <scheme val="minor"/>
      </rPr>
      <t>LW</t>
    </r>
  </si>
  <si>
    <t>vehicle</t>
  </si>
  <si>
    <r>
      <t>f</t>
    </r>
    <r>
      <rPr>
        <vertAlign val="subscript"/>
        <sz val="11"/>
        <color theme="1"/>
        <rFont val="Calibri"/>
        <family val="2"/>
        <scheme val="minor"/>
      </rPr>
      <t>HV</t>
    </r>
  </si>
  <si>
    <t>total</t>
  </si>
  <si>
    <t>of lanes</t>
  </si>
  <si>
    <t>for</t>
  </si>
  <si>
    <t>analysis</t>
  </si>
  <si>
    <t>No lane closure, no diversion</t>
  </si>
  <si>
    <t>No lane closure, with diversion</t>
  </si>
  <si>
    <t>Lane(s) closed, no diversion</t>
  </si>
  <si>
    <t>Lane(s) closed, with diversion</t>
  </si>
  <si>
    <t>INTERVAL</t>
  </si>
  <si>
    <t>mph</t>
  </si>
  <si>
    <t>PT</t>
  </si>
  <si>
    <r>
      <t>Adjustment for lateral clearance, f</t>
    </r>
    <r>
      <rPr>
        <vertAlign val="subscript"/>
        <sz val="11"/>
        <color theme="1"/>
        <rFont val="Calibri"/>
        <family val="2"/>
        <scheme val="minor"/>
      </rPr>
      <t>LC</t>
    </r>
  </si>
  <si>
    <t>Base free flow speed (BFFS)</t>
  </si>
  <si>
    <t>User defined adjustment</t>
  </si>
  <si>
    <t>Hourly Distribution</t>
  </si>
  <si>
    <t>Directional Distribution</t>
  </si>
  <si>
    <t>Hourly</t>
  </si>
  <si>
    <t>Directional</t>
  </si>
  <si>
    <t>AADT Distribution</t>
  </si>
  <si>
    <t>AADT</t>
  </si>
  <si>
    <t>based</t>
  </si>
  <si>
    <t>adj.</t>
  </si>
  <si>
    <t>CRS:</t>
  </si>
  <si>
    <t>PID:</t>
  </si>
  <si>
    <t>%</t>
  </si>
  <si>
    <t>MOT scenario:</t>
  </si>
  <si>
    <t>Upstation</t>
  </si>
  <si>
    <t>Downstation</t>
  </si>
  <si>
    <t>UP</t>
  </si>
  <si>
    <t>DEFINED FACTORS BY USER</t>
  </si>
  <si>
    <t>State Urban</t>
  </si>
  <si>
    <t>State Rural</t>
  </si>
  <si>
    <t>open</t>
  </si>
  <si>
    <t>Length</t>
  </si>
  <si>
    <t>Delay</t>
  </si>
  <si>
    <t>(miles)</t>
  </si>
  <si>
    <t>Volumes</t>
  </si>
  <si>
    <t>ave delay (hr)</t>
  </si>
  <si>
    <t>Calculated free flow speed (FFS)</t>
  </si>
  <si>
    <t>(veh)</t>
  </si>
  <si>
    <t>Q</t>
  </si>
  <si>
    <r>
      <t>N</t>
    </r>
    <r>
      <rPr>
        <vertAlign val="subscript"/>
        <sz val="11"/>
        <color theme="1"/>
        <rFont val="Calibri"/>
        <family val="2"/>
        <scheme val="minor"/>
      </rPr>
      <t>Q</t>
    </r>
  </si>
  <si>
    <t>Work</t>
  </si>
  <si>
    <t>intensity</t>
  </si>
  <si>
    <t>Roadway</t>
  </si>
  <si>
    <t>Direction</t>
  </si>
  <si>
    <t>User Defined</t>
  </si>
  <si>
    <t>Rural</t>
  </si>
  <si>
    <t>Urban</t>
  </si>
  <si>
    <t>Volume</t>
  </si>
  <si>
    <t>Terrain</t>
  </si>
  <si>
    <t>Level</t>
  </si>
  <si>
    <t>Rolling</t>
  </si>
  <si>
    <r>
      <t>P</t>
    </r>
    <r>
      <rPr>
        <vertAlign val="subscript"/>
        <sz val="11"/>
        <color theme="1"/>
        <rFont val="Calibri"/>
        <family val="2"/>
        <scheme val="minor"/>
      </rPr>
      <t>T</t>
    </r>
  </si>
  <si>
    <t xml:space="preserve">     3) Enter/review distribution values on AADT sheet</t>
  </si>
  <si>
    <t xml:space="preserve">     2) Select type of hourly and directional distributions</t>
  </si>
  <si>
    <t xml:space="preserve">     1) Enter Average Annual Daily Traffic value</t>
  </si>
  <si>
    <t>Type of volume data to be used for analysis</t>
  </si>
  <si>
    <t xml:space="preserve">     For hourly based evaluation:</t>
  </si>
  <si>
    <t xml:space="preserve">     For AADT based evaluation:</t>
  </si>
  <si>
    <r>
      <t>Enter base proportion of trucks and buses, P</t>
    </r>
    <r>
      <rPr>
        <vertAlign val="subscript"/>
        <sz val="11"/>
        <color theme="1"/>
        <rFont val="Calibri"/>
        <family val="2"/>
        <scheme val="minor"/>
      </rPr>
      <t>T</t>
    </r>
    <r>
      <rPr>
        <sz val="11"/>
        <color theme="1"/>
        <rFont val="Calibri"/>
        <family val="2"/>
        <scheme val="minor"/>
      </rPr>
      <t xml:space="preserve"> (%)</t>
    </r>
  </si>
  <si>
    <t>Type of terrain</t>
  </si>
  <si>
    <t xml:space="preserve">               Hourly distribution</t>
  </si>
  <si>
    <t xml:space="preserve">               Direction of travel</t>
  </si>
  <si>
    <t>Heavy</t>
  </si>
  <si>
    <t>Work zone</t>
  </si>
  <si>
    <r>
      <t>N</t>
    </r>
    <r>
      <rPr>
        <vertAlign val="subscript"/>
        <sz val="11"/>
        <color theme="1"/>
        <rFont val="Calibri"/>
        <family val="2"/>
        <scheme val="minor"/>
      </rPr>
      <t>closed</t>
    </r>
  </si>
  <si>
    <r>
      <t>N</t>
    </r>
    <r>
      <rPr>
        <vertAlign val="subscript"/>
        <sz val="11"/>
        <color theme="1"/>
        <rFont val="Calibri"/>
        <family val="2"/>
        <scheme val="minor"/>
      </rPr>
      <t>open</t>
    </r>
  </si>
  <si>
    <r>
      <t>Number of lanes (one direction) remaining open, N</t>
    </r>
    <r>
      <rPr>
        <vertAlign val="subscript"/>
        <sz val="11"/>
        <color theme="1"/>
        <rFont val="Calibri"/>
        <family val="2"/>
        <scheme val="minor"/>
      </rPr>
      <t>open</t>
    </r>
    <r>
      <rPr>
        <sz val="11"/>
        <color theme="1"/>
        <rFont val="Calibri"/>
        <family val="2"/>
        <scheme val="minor"/>
      </rPr>
      <t xml:space="preserve"> (see column N)</t>
    </r>
  </si>
  <si>
    <t>Number of lanes (one direction), N</t>
  </si>
  <si>
    <t>Work intensity adjustment, I, ranging from -160 to +160 pcphpl (column O)</t>
  </si>
  <si>
    <t>On-ramp</t>
  </si>
  <si>
    <t>Adjustment for presence of on-ramps within taper, R (column P)</t>
  </si>
  <si>
    <t>adj., I</t>
  </si>
  <si>
    <t>adj., R</t>
  </si>
  <si>
    <t>(pcphpl)</t>
  </si>
  <si>
    <t>Size</t>
  </si>
  <si>
    <t>Mountainous</t>
  </si>
  <si>
    <t>Percent</t>
  </si>
  <si>
    <t>over</t>
  </si>
  <si>
    <t>hourly</t>
  </si>
  <si>
    <t xml:space="preserve">     1) Enter estimated hourly volumes (column B)</t>
  </si>
  <si>
    <t>DN</t>
  </si>
  <si>
    <t>pcphpl</t>
  </si>
  <si>
    <t>(pcph)</t>
  </si>
  <si>
    <t>Diversion threshold (passenger cars per hour)</t>
  </si>
  <si>
    <t>(pc)</t>
  </si>
  <si>
    <t>Estimation of the proportion of trucks in queue</t>
  </si>
  <si>
    <r>
      <t>Adjust base P</t>
    </r>
    <r>
      <rPr>
        <vertAlign val="subscript"/>
        <sz val="11"/>
        <color theme="1"/>
        <rFont val="Calibri"/>
        <family val="2"/>
        <scheme val="minor"/>
      </rPr>
      <t>T</t>
    </r>
    <r>
      <rPr>
        <sz val="11"/>
        <color theme="1"/>
        <rFont val="Calibri"/>
        <family val="2"/>
        <scheme val="minor"/>
      </rPr>
      <t xml:space="preserve"> (%) value for each time interval (column G)</t>
    </r>
  </si>
  <si>
    <t>Enter the percent of the hourly passenger car volume over the diversion threshold expected to divert (column K)</t>
  </si>
  <si>
    <t>Adjustment for ramp density</t>
  </si>
  <si>
    <t>2010 HCM work zone capacity, pcph</t>
  </si>
  <si>
    <r>
      <t>Number of lanes (one direction) closed, N</t>
    </r>
    <r>
      <rPr>
        <vertAlign val="subscript"/>
        <sz val="11"/>
        <color theme="1"/>
        <rFont val="Calibri"/>
        <family val="2"/>
        <scheme val="minor"/>
      </rPr>
      <t>closed</t>
    </r>
    <r>
      <rPr>
        <sz val="11"/>
        <color theme="1"/>
        <rFont val="Calibri"/>
        <family val="2"/>
        <scheme val="minor"/>
      </rPr>
      <t xml:space="preserve"> (column M)</t>
    </r>
  </si>
  <si>
    <r>
      <t xml:space="preserve">     Passenger car equivalent for 1 truck or bus, E</t>
    </r>
    <r>
      <rPr>
        <vertAlign val="subscript"/>
        <sz val="11"/>
        <color theme="1"/>
        <rFont val="Calibri"/>
        <family val="2"/>
        <scheme val="minor"/>
      </rPr>
      <t>T</t>
    </r>
  </si>
  <si>
    <t xml:space="preserve">     Width of lanes (min 10 ft)</t>
  </si>
  <si>
    <t xml:space="preserve">     Lateral clearance on the right side (max 6 ft)</t>
  </si>
  <si>
    <r>
      <t xml:space="preserve">     Number of ramps within </t>
    </r>
    <r>
      <rPr>
        <sz val="11"/>
        <color theme="1"/>
        <rFont val="Calibri"/>
        <family val="2"/>
      </rPr>
      <t>±</t>
    </r>
    <r>
      <rPr>
        <sz val="11"/>
        <color theme="1"/>
        <rFont val="Calibri"/>
        <family val="2"/>
        <scheme val="minor"/>
      </rPr>
      <t>3 miles (max 6)</t>
    </r>
  </si>
  <si>
    <t>PROJECT INFORMATION</t>
  </si>
  <si>
    <t>PRE-LANE CLOSURE CONDITION</t>
  </si>
  <si>
    <t>TRAFFIC VOLUME DATA</t>
  </si>
  <si>
    <t>LANE CLOSURE CONDITION</t>
  </si>
  <si>
    <t>QUEUE INFORMATION</t>
  </si>
  <si>
    <t>Supply</t>
  </si>
  <si>
    <t>Demand</t>
  </si>
  <si>
    <t>Queue - Upstream of work zone at the end of the time interval</t>
  </si>
  <si>
    <r>
      <t>N</t>
    </r>
    <r>
      <rPr>
        <vertAlign val="subscript"/>
        <sz val="11"/>
        <color theme="1"/>
        <rFont val="Calibri"/>
        <family val="2"/>
        <scheme val="minor"/>
      </rPr>
      <t>Q</t>
    </r>
    <r>
      <rPr>
        <sz val="11"/>
        <color theme="1"/>
        <rFont val="Calibri"/>
        <family val="2"/>
        <scheme val="minor"/>
      </rPr>
      <t>∆t</t>
    </r>
  </si>
  <si>
    <t>total delay (hr)</t>
  </si>
  <si>
    <t>PC delay (hr)</t>
  </si>
  <si>
    <t>T&amp;B delay (hr)</t>
  </si>
  <si>
    <t>(hrs)</t>
  </si>
  <si>
    <t>DETERMINISTIC QUEUE ANALYSIS</t>
  </si>
  <si>
    <t>2010 HCM basic freeway segment capacity</t>
  </si>
  <si>
    <t>Average minimum headway of passenger cars in queue, h</t>
  </si>
  <si>
    <t>with</t>
  </si>
  <si>
    <t>threshold</t>
  </si>
  <si>
    <t>Queue length highlighted based on Policy No. 21-008(P) criteria</t>
  </si>
  <si>
    <t>Calibration of base capacity, U</t>
  </si>
  <si>
    <t>Q &gt;0 .75</t>
  </si>
  <si>
    <t>Q &lt;= 0.75</t>
  </si>
  <si>
    <t>Lock code</t>
  </si>
  <si>
    <t>QCALCODOT16</t>
  </si>
  <si>
    <t>http://www.dot.state.oh.us/Divisions/Planning/TechServ/traffic/Pages/HrlyPercent.aspx</t>
  </si>
  <si>
    <t xml:space="preserve">* Hourly distribution values entered are based upon the 2014 Hourly Percent by Vehicle Type report for Urban and Rural Interstates by Technical Services. </t>
  </si>
  <si>
    <t>Directional distributions for the default values have been shown at 50%/50%; however, the user can use TIMS to find more specific hourly and directional</t>
  </si>
  <si>
    <t xml:space="preserve">A few values needed to be modified from the report for entry here due to rounding causing the total to be more than 100%. </t>
  </si>
  <si>
    <t xml:space="preserve">distributions and the columns labeled DEFINED FACTORS BY USER to custom define. </t>
  </si>
  <si>
    <t>ODOT DEFAULT VALUES*</t>
  </si>
  <si>
    <t>Description of Changes Made</t>
  </si>
  <si>
    <t>Published Date</t>
  </si>
  <si>
    <t>Form Version</t>
  </si>
  <si>
    <t>Initial Release of New Lane Closure Queue Analysis Tool</t>
  </si>
  <si>
    <t>Lane Closure Queue Analysis Tool Revision History</t>
  </si>
  <si>
    <t>1) Spelling correction of "Transporation" to "Transportation" in the sheet header (for printed version)</t>
  </si>
  <si>
    <t>2) Revision in the sheet protection for the AADT spreadsheet to allow users to copy values from the ODOT Default Values and paste them into the User Defined area. Note this change does not allow users to change the ODOT Default Values.</t>
  </si>
  <si>
    <t>SR6</t>
  </si>
  <si>
    <t>Que</t>
  </si>
  <si>
    <t xml:space="preserve">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</si>
</sst>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d/yy;@"/>
  </numFmts>
  <fonts count="15" x14ac:knownFonts="1">
    <font>
      <sz val="11"/>
      <color theme="1"/>
      <name val="Calibri"/>
      <family val="2"/>
      <scheme val="minor"/>
    </font>
    <font>
      <sz val="10"/>
      <name val="Arial"/>
      <family val="2"/>
    </font>
    <font>
      <b/>
      <sz val="10"/>
      <name val="Arial"/>
      <family val="2"/>
    </font>
    <font>
      <vertAlign val="subscript"/>
      <sz val="11"/>
      <color theme="1"/>
      <name val="Calibri"/>
      <family val="2"/>
      <scheme val="minor"/>
    </font>
    <font>
      <sz val="11"/>
      <color theme="1"/>
      <name val="Calibri"/>
      <family val="2"/>
    </font>
    <font>
      <b/>
      <sz val="11"/>
      <color theme="1"/>
      <name val="Calibri"/>
      <family val="2"/>
      <scheme val="minor"/>
    </font>
    <font>
      <b/>
      <sz val="12"/>
      <color theme="1"/>
      <name val="Calibri"/>
      <family val="2"/>
      <scheme val="minor"/>
    </font>
    <font>
      <sz val="10"/>
      <name val="Arial"/>
      <family val="2"/>
    </font>
    <font>
      <b/>
      <sz val="11"/>
      <color rgb="FF006100"/>
      <name val="Calibri"/>
      <family val="2"/>
      <scheme val="minor"/>
    </font>
    <font>
      <b/>
      <sz val="11"/>
      <color rgb="FF9C0006"/>
      <name val="Calibri"/>
      <family val="2"/>
      <scheme val="minor"/>
    </font>
    <font>
      <sz val="11"/>
      <color indexed="81"/>
      <name val="Tahoma"/>
      <family val="2"/>
    </font>
    <font>
      <b/>
      <sz val="11"/>
      <color theme="0" tint="-0.14999847407452621"/>
      <name val="Calibri"/>
      <family val="2"/>
      <scheme val="minor"/>
    </font>
    <font>
      <sz val="9"/>
      <color indexed="81"/>
      <name val="Tahoma"/>
      <family val="2"/>
    </font>
    <font>
      <b/>
      <sz val="11"/>
      <color indexed="81"/>
      <name val="Tahoma"/>
      <family val="2"/>
    </font>
    <font>
      <b/>
      <sz val="16"/>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C6EFCE"/>
        <bgColor indexed="64"/>
      </patternFill>
    </fill>
    <fill>
      <patternFill patternType="solid">
        <fgColor rgb="FFFFC7CE"/>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s>
  <cellStyleXfs count="3">
    <xf numFmtId="0" fontId="0" fillId="0" borderId="0"/>
    <xf numFmtId="0" fontId="1" fillId="0" borderId="0"/>
    <xf numFmtId="3" fontId="7" fillId="0" borderId="0" applyFont="0" applyFill="0" applyBorder="0" applyAlignment="0" applyProtection="0"/>
  </cellStyleXfs>
  <cellXfs count="240">
    <xf numFmtId="0" fontId="0" fillId="0" borderId="0" xfId="0"/>
    <xf numFmtId="0" fontId="0" fillId="2" borderId="0" xfId="0" applyFill="1" applyBorder="1" applyProtection="1"/>
    <xf numFmtId="0" fontId="0" fillId="2" borderId="0" xfId="0" applyFill="1" applyProtection="1"/>
    <xf numFmtId="0" fontId="0" fillId="2" borderId="0" xfId="0" applyFill="1" applyAlignment="1" applyProtection="1">
      <alignment horizontal="center"/>
    </xf>
    <xf numFmtId="0" fontId="0" fillId="2" borderId="22" xfId="0" applyFill="1" applyBorder="1" applyProtection="1"/>
    <xf numFmtId="0" fontId="0" fillId="2" borderId="30" xfId="0" applyFill="1" applyBorder="1" applyProtection="1"/>
    <xf numFmtId="0" fontId="0" fillId="2" borderId="0" xfId="0" applyFill="1" applyBorder="1" applyAlignment="1" applyProtection="1">
      <alignment horizontal="right"/>
    </xf>
    <xf numFmtId="0" fontId="6" fillId="2" borderId="0" xfId="0" applyFont="1" applyFill="1" applyBorder="1" applyAlignment="1" applyProtection="1">
      <alignment horizontal="left"/>
    </xf>
    <xf numFmtId="1" fontId="0" fillId="2" borderId="25" xfId="0" applyNumberFormat="1" applyFill="1" applyBorder="1" applyAlignment="1" applyProtection="1">
      <alignment horizontal="right"/>
    </xf>
    <xf numFmtId="0" fontId="0" fillId="2" borderId="31" xfId="0" applyFill="1" applyBorder="1" applyProtection="1"/>
    <xf numFmtId="9" fontId="0" fillId="2" borderId="0" xfId="0" quotePrefix="1" applyNumberFormat="1" applyFill="1" applyBorder="1" applyAlignment="1" applyProtection="1">
      <alignment horizontal="left"/>
    </xf>
    <xf numFmtId="0" fontId="0" fillId="2" borderId="0" xfId="0" applyFill="1" applyBorder="1" applyAlignment="1" applyProtection="1"/>
    <xf numFmtId="0" fontId="5" fillId="2" borderId="0" xfId="0" applyFont="1" applyFill="1" applyBorder="1" applyAlignment="1" applyProtection="1"/>
    <xf numFmtId="0" fontId="0" fillId="2" borderId="30" xfId="0" applyFill="1" applyBorder="1" applyAlignment="1" applyProtection="1"/>
    <xf numFmtId="0" fontId="0" fillId="2" borderId="23" xfId="0" applyFill="1" applyBorder="1" applyProtection="1"/>
    <xf numFmtId="0" fontId="0" fillId="2" borderId="10" xfId="0" applyFill="1" applyBorder="1" applyAlignment="1" applyProtection="1">
      <alignment horizontal="center"/>
    </xf>
    <xf numFmtId="0" fontId="0" fillId="2" borderId="11" xfId="0" applyFill="1" applyBorder="1" applyAlignment="1" applyProtection="1">
      <alignment horizontal="center"/>
    </xf>
    <xf numFmtId="0" fontId="0" fillId="2" borderId="12" xfId="0" applyFill="1" applyBorder="1" applyAlignment="1" applyProtection="1">
      <alignment horizontal="center"/>
    </xf>
    <xf numFmtId="0" fontId="0" fillId="2" borderId="1" xfId="0" applyFill="1" applyBorder="1" applyAlignment="1" applyProtection="1">
      <alignment horizontal="center"/>
    </xf>
    <xf numFmtId="164" fontId="0" fillId="2" borderId="2" xfId="0" applyNumberFormat="1" applyFill="1" applyBorder="1" applyAlignment="1" applyProtection="1">
      <alignment horizontal="center"/>
    </xf>
    <xf numFmtId="164" fontId="0" fillId="2" borderId="10" xfId="0" applyNumberFormat="1" applyFill="1" applyBorder="1" applyAlignment="1" applyProtection="1">
      <alignment horizontal="center"/>
    </xf>
    <xf numFmtId="2" fontId="0" fillId="2" borderId="3" xfId="0" applyNumberFormat="1" applyFill="1" applyBorder="1" applyAlignment="1" applyProtection="1">
      <alignment horizontal="center"/>
    </xf>
    <xf numFmtId="1" fontId="0" fillId="2" borderId="10" xfId="0" applyNumberFormat="1" applyFill="1" applyBorder="1" applyAlignment="1" applyProtection="1">
      <alignment horizontal="center"/>
    </xf>
    <xf numFmtId="164" fontId="0" fillId="2" borderId="19" xfId="0" applyNumberFormat="1" applyFill="1" applyBorder="1" applyAlignment="1" applyProtection="1">
      <alignment horizontal="center"/>
    </xf>
    <xf numFmtId="164" fontId="0" fillId="2" borderId="0" xfId="0" applyNumberFormat="1" applyFill="1" applyBorder="1" applyAlignment="1" applyProtection="1">
      <alignment horizontal="center"/>
    </xf>
    <xf numFmtId="164" fontId="0" fillId="2" borderId="1" xfId="0" applyNumberFormat="1" applyFill="1" applyBorder="1" applyAlignment="1" applyProtection="1">
      <alignment horizontal="center"/>
    </xf>
    <xf numFmtId="164" fontId="0" fillId="2" borderId="5" xfId="0" applyNumberFormat="1" applyFill="1" applyBorder="1" applyAlignment="1" applyProtection="1">
      <alignment horizontal="center"/>
    </xf>
    <xf numFmtId="164" fontId="0" fillId="2" borderId="11" xfId="0" applyNumberFormat="1" applyFill="1" applyBorder="1" applyAlignment="1" applyProtection="1">
      <alignment horizontal="center"/>
    </xf>
    <xf numFmtId="2" fontId="0" fillId="2" borderId="0" xfId="0" applyNumberFormat="1" applyFill="1" applyBorder="1" applyAlignment="1" applyProtection="1">
      <alignment horizontal="center"/>
    </xf>
    <xf numFmtId="1" fontId="0" fillId="2" borderId="11" xfId="0" applyNumberFormat="1" applyFill="1" applyBorder="1" applyAlignment="1" applyProtection="1">
      <alignment horizontal="center"/>
    </xf>
    <xf numFmtId="164" fontId="0" fillId="2" borderId="20" xfId="0" applyNumberFormat="1" applyFill="1" applyBorder="1" applyAlignment="1" applyProtection="1">
      <alignment horizontal="center"/>
    </xf>
    <xf numFmtId="164" fontId="0" fillId="2" borderId="12" xfId="0" applyNumberFormat="1" applyFill="1" applyBorder="1" applyAlignment="1" applyProtection="1">
      <alignment horizontal="center"/>
    </xf>
    <xf numFmtId="1" fontId="0" fillId="2" borderId="12" xfId="0" applyNumberFormat="1" applyFill="1" applyBorder="1" applyAlignment="1" applyProtection="1">
      <alignment horizontal="center"/>
    </xf>
    <xf numFmtId="164" fontId="0" fillId="2" borderId="32" xfId="0" applyNumberFormat="1" applyFill="1" applyBorder="1" applyAlignment="1" applyProtection="1">
      <alignment horizontal="center"/>
    </xf>
    <xf numFmtId="164" fontId="0" fillId="2" borderId="4" xfId="0" applyNumberFormat="1" applyFill="1" applyBorder="1" applyAlignment="1" applyProtection="1">
      <alignment horizontal="center"/>
    </xf>
    <xf numFmtId="164" fontId="0" fillId="2" borderId="33" xfId="0" applyNumberFormat="1" applyFill="1" applyBorder="1" applyAlignment="1" applyProtection="1">
      <alignment horizontal="center"/>
    </xf>
    <xf numFmtId="164" fontId="0" fillId="2" borderId="6" xfId="0" applyNumberFormat="1" applyFill="1" applyBorder="1" applyAlignment="1" applyProtection="1">
      <alignment horizontal="center"/>
    </xf>
    <xf numFmtId="164" fontId="0" fillId="2" borderId="30" xfId="0" applyNumberFormat="1" applyFill="1" applyBorder="1" applyAlignment="1" applyProtection="1">
      <alignment horizontal="center"/>
    </xf>
    <xf numFmtId="0" fontId="0" fillId="2" borderId="0" xfId="0" applyFill="1" applyAlignment="1" applyProtection="1"/>
    <xf numFmtId="2" fontId="0" fillId="2" borderId="27" xfId="0" applyNumberFormat="1" applyFill="1" applyBorder="1" applyAlignment="1" applyProtection="1">
      <alignment horizontal="center"/>
    </xf>
    <xf numFmtId="2" fontId="0" fillId="2" borderId="31" xfId="0" applyNumberFormat="1" applyFill="1" applyBorder="1" applyAlignment="1" applyProtection="1">
      <alignment horizontal="center"/>
    </xf>
    <xf numFmtId="0" fontId="0" fillId="0" borderId="0" xfId="0" applyFill="1" applyBorder="1" applyAlignment="1" applyProtection="1">
      <alignment horizontal="right"/>
      <protection locked="0"/>
    </xf>
    <xf numFmtId="0" fontId="0" fillId="0" borderId="3"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11" xfId="0" applyFill="1" applyBorder="1" applyAlignment="1" applyProtection="1">
      <alignment horizontal="center"/>
      <protection locked="0"/>
    </xf>
    <xf numFmtId="0" fontId="0" fillId="2" borderId="22" xfId="0" applyFill="1" applyBorder="1" applyAlignment="1" applyProtection="1">
      <alignment horizontal="center"/>
    </xf>
    <xf numFmtId="0" fontId="0" fillId="2" borderId="25" xfId="0" applyFill="1" applyBorder="1" applyAlignment="1" applyProtection="1"/>
    <xf numFmtId="0" fontId="0" fillId="2" borderId="10" xfId="0" applyFont="1" applyFill="1" applyBorder="1" applyAlignment="1" applyProtection="1">
      <alignment horizontal="center"/>
    </xf>
    <xf numFmtId="0" fontId="0" fillId="2" borderId="11" xfId="0" applyFont="1" applyFill="1" applyBorder="1" applyAlignment="1" applyProtection="1">
      <alignment horizontal="center"/>
    </xf>
    <xf numFmtId="0" fontId="0" fillId="2" borderId="6" xfId="0" applyFont="1" applyFill="1" applyBorder="1" applyAlignment="1" applyProtection="1">
      <alignment horizontal="center"/>
    </xf>
    <xf numFmtId="0" fontId="0" fillId="2" borderId="19" xfId="0" applyFont="1" applyFill="1" applyBorder="1" applyAlignment="1" applyProtection="1">
      <alignment horizontal="center"/>
    </xf>
    <xf numFmtId="0" fontId="0" fillId="2" borderId="5" xfId="0" applyFont="1" applyFill="1" applyBorder="1" applyAlignment="1" applyProtection="1">
      <alignment horizontal="center"/>
    </xf>
    <xf numFmtId="0" fontId="0" fillId="2" borderId="11" xfId="0" applyFont="1" applyFill="1" applyBorder="1" applyProtection="1"/>
    <xf numFmtId="0" fontId="0" fillId="2" borderId="20" xfId="0" applyFont="1" applyFill="1" applyBorder="1" applyAlignment="1" applyProtection="1">
      <alignment horizontal="center"/>
    </xf>
    <xf numFmtId="0" fontId="0" fillId="2" borderId="12" xfId="0" applyFont="1" applyFill="1" applyBorder="1" applyAlignment="1" applyProtection="1">
      <alignment horizontal="center"/>
    </xf>
    <xf numFmtId="0" fontId="0" fillId="2" borderId="32" xfId="0" applyFont="1" applyFill="1" applyBorder="1" applyAlignment="1" applyProtection="1">
      <alignment horizontal="center"/>
    </xf>
    <xf numFmtId="0" fontId="0" fillId="2" borderId="10" xfId="0" applyFont="1" applyFill="1" applyBorder="1" applyAlignment="1" applyProtection="1">
      <alignment horizontal="center" wrapText="1"/>
    </xf>
    <xf numFmtId="0" fontId="0" fillId="2" borderId="11" xfId="0" applyFont="1" applyFill="1" applyBorder="1" applyAlignment="1" applyProtection="1">
      <alignment horizontal="center" wrapText="1"/>
    </xf>
    <xf numFmtId="164" fontId="0" fillId="2" borderId="7" xfId="0" applyNumberFormat="1" applyFill="1" applyBorder="1" applyAlignment="1" applyProtection="1">
      <alignment horizontal="center"/>
    </xf>
    <xf numFmtId="2" fontId="0" fillId="2" borderId="8" xfId="0" applyNumberFormat="1" applyFill="1" applyBorder="1" applyAlignment="1" applyProtection="1">
      <alignment horizontal="center"/>
    </xf>
    <xf numFmtId="0" fontId="0" fillId="0" borderId="8" xfId="0" applyFill="1" applyBorder="1" applyAlignment="1" applyProtection="1">
      <alignment horizontal="center"/>
      <protection locked="0"/>
    </xf>
    <xf numFmtId="0" fontId="0" fillId="0" borderId="9" xfId="0" applyFill="1" applyBorder="1" applyAlignment="1" applyProtection="1">
      <alignment horizontal="center"/>
      <protection locked="0"/>
    </xf>
    <xf numFmtId="0" fontId="0" fillId="0" borderId="12" xfId="0" applyFill="1" applyBorder="1" applyAlignment="1" applyProtection="1">
      <alignment horizontal="center"/>
      <protection locked="0"/>
    </xf>
    <xf numFmtId="0" fontId="0" fillId="2" borderId="16" xfId="0" applyFill="1" applyBorder="1" applyProtection="1"/>
    <xf numFmtId="0" fontId="0" fillId="2" borderId="18" xfId="0" applyFill="1" applyBorder="1" applyProtection="1"/>
    <xf numFmtId="0" fontId="5" fillId="2" borderId="18" xfId="0" applyFont="1" applyFill="1" applyBorder="1" applyAlignment="1" applyProtection="1">
      <alignment horizontal="center"/>
    </xf>
    <xf numFmtId="0" fontId="5" fillId="2" borderId="21" xfId="0" applyFont="1" applyFill="1" applyBorder="1" applyAlignment="1" applyProtection="1">
      <alignment horizontal="center"/>
    </xf>
    <xf numFmtId="16" fontId="0" fillId="2" borderId="16" xfId="0" quotePrefix="1" applyNumberFormat="1" applyFill="1" applyBorder="1" applyAlignment="1" applyProtection="1">
      <alignment horizontal="center"/>
    </xf>
    <xf numFmtId="0" fontId="0" fillId="2" borderId="18" xfId="0" quotePrefix="1" applyFill="1" applyBorder="1" applyAlignment="1" applyProtection="1">
      <alignment horizontal="center"/>
    </xf>
    <xf numFmtId="0" fontId="0" fillId="2" borderId="21" xfId="0" quotePrefix="1" applyFill="1" applyBorder="1" applyAlignment="1" applyProtection="1">
      <alignment horizontal="center"/>
    </xf>
    <xf numFmtId="0" fontId="2" fillId="2" borderId="2" xfId="1" applyFont="1" applyFill="1" applyBorder="1" applyAlignment="1" applyProtection="1">
      <alignment vertical="top"/>
    </xf>
    <xf numFmtId="0" fontId="2" fillId="2" borderId="4" xfId="1" applyFont="1" applyFill="1" applyBorder="1" applyAlignment="1" applyProtection="1">
      <alignment vertical="top"/>
    </xf>
    <xf numFmtId="0" fontId="2" fillId="2" borderId="5" xfId="1" applyFont="1" applyFill="1" applyBorder="1" applyAlignment="1" applyProtection="1">
      <alignment vertical="top"/>
    </xf>
    <xf numFmtId="0" fontId="2" fillId="2" borderId="6" xfId="1" applyFont="1" applyFill="1" applyBorder="1" applyAlignment="1" applyProtection="1">
      <alignment vertical="top"/>
    </xf>
    <xf numFmtId="0" fontId="2" fillId="2" borderId="5" xfId="1" applyFont="1" applyFill="1" applyBorder="1" applyAlignment="1" applyProtection="1">
      <alignment horizontal="center" vertical="top" wrapText="1"/>
    </xf>
    <xf numFmtId="0" fontId="2" fillId="2" borderId="5" xfId="1" applyFont="1" applyFill="1" applyBorder="1" applyAlignment="1" applyProtection="1">
      <alignment horizontal="center" vertical="top"/>
    </xf>
    <xf numFmtId="0" fontId="2" fillId="2" borderId="6" xfId="1" applyFont="1" applyFill="1" applyBorder="1" applyAlignment="1" applyProtection="1">
      <alignment horizontal="center" vertical="top"/>
    </xf>
    <xf numFmtId="0" fontId="2" fillId="2" borderId="6" xfId="1" applyFont="1" applyFill="1" applyBorder="1" applyAlignment="1" applyProtection="1">
      <alignment horizontal="center" vertical="top" wrapText="1"/>
    </xf>
    <xf numFmtId="0" fontId="2" fillId="2" borderId="11" xfId="1" applyFont="1" applyFill="1" applyBorder="1" applyAlignment="1" applyProtection="1">
      <alignment horizontal="center" vertical="top" wrapText="1"/>
    </xf>
    <xf numFmtId="1" fontId="1" fillId="2" borderId="4" xfId="1" applyNumberFormat="1" applyFill="1" applyBorder="1" applyAlignment="1" applyProtection="1">
      <alignment horizontal="center"/>
    </xf>
    <xf numFmtId="1" fontId="1" fillId="2" borderId="6" xfId="1" applyNumberFormat="1" applyFill="1" applyBorder="1" applyAlignment="1" applyProtection="1">
      <alignment horizontal="center"/>
    </xf>
    <xf numFmtId="1" fontId="1" fillId="2" borderId="9" xfId="1" applyNumberFormat="1" applyFill="1" applyBorder="1" applyAlignment="1" applyProtection="1">
      <alignment horizontal="center"/>
    </xf>
    <xf numFmtId="0" fontId="7" fillId="0" borderId="2" xfId="2" applyNumberFormat="1" applyFill="1" applyBorder="1" applyAlignment="1" applyProtection="1">
      <alignment horizontal="center"/>
      <protection locked="0"/>
    </xf>
    <xf numFmtId="1" fontId="1" fillId="0" borderId="2" xfId="1" applyNumberFormat="1" applyFont="1" applyFill="1" applyBorder="1" applyAlignment="1" applyProtection="1">
      <alignment horizontal="center"/>
      <protection locked="0"/>
    </xf>
    <xf numFmtId="0" fontId="7" fillId="0" borderId="5" xfId="2" applyNumberFormat="1" applyFill="1" applyBorder="1" applyAlignment="1" applyProtection="1">
      <alignment horizontal="center"/>
      <protection locked="0"/>
    </xf>
    <xf numFmtId="1" fontId="1" fillId="0" borderId="5" xfId="1" applyNumberFormat="1" applyFont="1" applyFill="1" applyBorder="1" applyAlignment="1" applyProtection="1">
      <alignment horizontal="center"/>
      <protection locked="0"/>
    </xf>
    <xf numFmtId="0" fontId="1" fillId="0" borderId="5" xfId="2" applyNumberFormat="1" applyFont="1" applyFill="1" applyBorder="1" applyAlignment="1" applyProtection="1">
      <alignment horizontal="center"/>
      <protection locked="0"/>
    </xf>
    <xf numFmtId="0" fontId="7" fillId="0" borderId="7" xfId="2" applyNumberFormat="1" applyFill="1" applyBorder="1" applyAlignment="1" applyProtection="1">
      <alignment horizontal="center"/>
      <protection locked="0"/>
    </xf>
    <xf numFmtId="1" fontId="1" fillId="0" borderId="7" xfId="1" applyNumberFormat="1" applyFont="1" applyFill="1" applyBorder="1" applyAlignment="1" applyProtection="1">
      <alignment horizontal="center"/>
      <protection locked="0"/>
    </xf>
    <xf numFmtId="1" fontId="1" fillId="2" borderId="10" xfId="1" applyNumberFormat="1" applyFill="1" applyBorder="1" applyAlignment="1" applyProtection="1">
      <alignment horizontal="center"/>
    </xf>
    <xf numFmtId="1" fontId="1" fillId="2" borderId="11" xfId="1" applyNumberFormat="1" applyFill="1" applyBorder="1" applyAlignment="1" applyProtection="1">
      <alignment horizontal="center"/>
    </xf>
    <xf numFmtId="1" fontId="1" fillId="2" borderId="12" xfId="1" applyNumberFormat="1" applyFill="1" applyBorder="1" applyAlignment="1" applyProtection="1">
      <alignment horizontal="center"/>
    </xf>
    <xf numFmtId="0" fontId="0" fillId="2" borderId="10" xfId="0" applyFill="1" applyBorder="1" applyProtection="1"/>
    <xf numFmtId="0" fontId="0" fillId="2" borderId="11" xfId="0" applyFill="1" applyBorder="1" applyProtection="1"/>
    <xf numFmtId="0" fontId="0" fillId="2" borderId="12" xfId="0" applyFill="1" applyBorder="1" applyProtection="1"/>
    <xf numFmtId="16" fontId="0" fillId="2" borderId="10" xfId="0" quotePrefix="1" applyNumberFormat="1" applyFill="1" applyBorder="1" applyAlignment="1" applyProtection="1">
      <alignment horizontal="center"/>
    </xf>
    <xf numFmtId="0" fontId="0" fillId="2" borderId="11" xfId="0" quotePrefix="1" applyFill="1" applyBorder="1" applyAlignment="1" applyProtection="1">
      <alignment horizontal="center"/>
    </xf>
    <xf numFmtId="0" fontId="0" fillId="2" borderId="12" xfId="0" quotePrefix="1" applyFill="1" applyBorder="1" applyAlignment="1" applyProtection="1">
      <alignment horizontal="center"/>
    </xf>
    <xf numFmtId="17" fontId="0" fillId="2" borderId="0" xfId="0" applyNumberFormat="1" applyFill="1" applyBorder="1" applyAlignment="1" applyProtection="1">
      <alignment horizontal="left" vertical="top"/>
    </xf>
    <xf numFmtId="0" fontId="0" fillId="2" borderId="0" xfId="0" applyFill="1" applyBorder="1" applyAlignment="1" applyProtection="1">
      <alignment horizontal="left" vertical="top" wrapText="1"/>
    </xf>
    <xf numFmtId="164" fontId="0" fillId="2" borderId="0" xfId="0" applyNumberFormat="1" applyFill="1" applyBorder="1" applyAlignment="1" applyProtection="1"/>
    <xf numFmtId="0" fontId="0" fillId="2" borderId="0" xfId="0" applyFill="1" applyBorder="1" applyAlignment="1" applyProtection="1">
      <alignment wrapText="1"/>
    </xf>
    <xf numFmtId="1" fontId="0" fillId="2" borderId="4" xfId="0" applyNumberFormat="1" applyFill="1" applyBorder="1" applyAlignment="1" applyProtection="1">
      <alignment horizontal="center"/>
    </xf>
    <xf numFmtId="1" fontId="0" fillId="2" borderId="6" xfId="0" applyNumberFormat="1" applyFill="1" applyBorder="1" applyAlignment="1" applyProtection="1">
      <alignment horizontal="center"/>
    </xf>
    <xf numFmtId="1" fontId="0" fillId="2" borderId="9" xfId="0" applyNumberFormat="1" applyFill="1" applyBorder="1" applyAlignment="1" applyProtection="1">
      <alignment horizontal="center"/>
    </xf>
    <xf numFmtId="164" fontId="0" fillId="0" borderId="4" xfId="0" applyNumberFormat="1" applyFill="1" applyBorder="1" applyAlignment="1" applyProtection="1">
      <alignment horizontal="center"/>
      <protection locked="0"/>
    </xf>
    <xf numFmtId="164" fontId="0" fillId="0" borderId="6" xfId="0" applyNumberFormat="1" applyFill="1" applyBorder="1" applyAlignment="1" applyProtection="1">
      <alignment horizontal="center"/>
      <protection locked="0"/>
    </xf>
    <xf numFmtId="164" fontId="0" fillId="0" borderId="9" xfId="0" applyNumberFormat="1" applyFill="1" applyBorder="1" applyAlignment="1" applyProtection="1">
      <alignment horizontal="center"/>
      <protection locked="0"/>
    </xf>
    <xf numFmtId="0" fontId="0" fillId="2" borderId="7" xfId="0" applyFill="1" applyBorder="1" applyAlignment="1" applyProtection="1">
      <alignment horizontal="center"/>
    </xf>
    <xf numFmtId="0" fontId="1" fillId="2" borderId="4" xfId="2" applyNumberFormat="1" applyFont="1" applyFill="1" applyBorder="1" applyAlignment="1" applyProtection="1">
      <alignment horizontal="center"/>
    </xf>
    <xf numFmtId="0" fontId="1" fillId="2" borderId="2" xfId="1" applyNumberFormat="1" applyFont="1" applyFill="1" applyBorder="1" applyAlignment="1" applyProtection="1">
      <alignment horizontal="center"/>
    </xf>
    <xf numFmtId="0" fontId="7" fillId="2" borderId="6" xfId="2" applyNumberFormat="1" applyFill="1" applyBorder="1" applyAlignment="1" applyProtection="1">
      <alignment horizontal="center"/>
    </xf>
    <xf numFmtId="0" fontId="1" fillId="2" borderId="5" xfId="1" applyNumberFormat="1" applyFont="1" applyFill="1" applyBorder="1" applyAlignment="1" applyProtection="1">
      <alignment horizontal="center"/>
    </xf>
    <xf numFmtId="0" fontId="7" fillId="2" borderId="9" xfId="2" applyNumberFormat="1" applyFill="1" applyBorder="1" applyAlignment="1" applyProtection="1">
      <alignment horizontal="center"/>
    </xf>
    <xf numFmtId="0" fontId="1" fillId="2" borderId="7" xfId="1" applyNumberFormat="1" applyFont="1" applyFill="1" applyBorder="1" applyAlignment="1" applyProtection="1">
      <alignment horizontal="center"/>
    </xf>
    <xf numFmtId="0" fontId="7" fillId="2" borderId="3" xfId="2" applyNumberFormat="1" applyFill="1" applyBorder="1" applyAlignment="1" applyProtection="1">
      <alignment horizontal="center"/>
    </xf>
    <xf numFmtId="0" fontId="7" fillId="2" borderId="0" xfId="2" applyNumberFormat="1" applyFill="1" applyBorder="1" applyAlignment="1" applyProtection="1">
      <alignment horizontal="center"/>
    </xf>
    <xf numFmtId="0" fontId="7" fillId="2" borderId="8" xfId="2" applyNumberFormat="1" applyFill="1" applyBorder="1" applyAlignment="1" applyProtection="1">
      <alignment horizontal="center"/>
    </xf>
    <xf numFmtId="0" fontId="0" fillId="0" borderId="0" xfId="0" applyFill="1" applyBorder="1" applyAlignment="1" applyProtection="1">
      <protection locked="0"/>
    </xf>
    <xf numFmtId="0" fontId="14" fillId="0" borderId="0" xfId="0" applyFont="1" applyAlignment="1">
      <alignment horizontal="left" vertical="top"/>
    </xf>
    <xf numFmtId="164" fontId="0" fillId="0" borderId="0" xfId="0" applyNumberFormat="1" applyAlignment="1">
      <alignment horizontal="center" vertical="top"/>
    </xf>
    <xf numFmtId="0" fontId="0" fillId="0" borderId="0" xfId="0" applyAlignment="1">
      <alignment horizontal="center" vertical="top"/>
    </xf>
    <xf numFmtId="0" fontId="0" fillId="0" borderId="0" xfId="0" applyAlignment="1">
      <alignment vertical="top" wrapText="1"/>
    </xf>
    <xf numFmtId="164" fontId="0" fillId="0" borderId="1" xfId="0" applyNumberFormat="1" applyBorder="1" applyAlignment="1">
      <alignment horizontal="center" vertical="top"/>
    </xf>
    <xf numFmtId="0" fontId="0" fillId="0" borderId="1" xfId="0" applyBorder="1" applyAlignment="1">
      <alignment vertical="top" wrapText="1"/>
    </xf>
    <xf numFmtId="14" fontId="0" fillId="0" borderId="1" xfId="0" applyNumberFormat="1" applyBorder="1" applyAlignment="1">
      <alignment horizontal="center" vertical="top"/>
    </xf>
    <xf numFmtId="0" fontId="0" fillId="2" borderId="1" xfId="0" applyFill="1" applyBorder="1" applyAlignment="1">
      <alignment horizontal="center" vertical="top"/>
    </xf>
    <xf numFmtId="164" fontId="0" fillId="2" borderId="1" xfId="0" applyNumberFormat="1" applyFill="1" applyBorder="1" applyAlignment="1">
      <alignment horizontal="center" vertical="top"/>
    </xf>
    <xf numFmtId="0" fontId="0" fillId="2" borderId="1" xfId="0" applyFill="1" applyBorder="1" applyAlignment="1">
      <alignment vertical="top" wrapText="1"/>
    </xf>
    <xf numFmtId="1" fontId="0" fillId="0" borderId="30" xfId="0" applyNumberFormat="1" applyBorder="1" applyProtection="1">
      <protection locked="0"/>
    </xf>
    <xf numFmtId="0" fontId="0" fillId="2" borderId="5" xfId="0" applyFill="1" applyBorder="1" applyAlignment="1" applyProtection="1">
      <alignment horizontal="center"/>
    </xf>
    <xf numFmtId="0" fontId="0" fillId="2" borderId="0" xfId="0" applyFill="1" applyBorder="1" applyAlignment="1" applyProtection="1">
      <alignment horizontal="center"/>
    </xf>
    <xf numFmtId="0" fontId="0" fillId="2" borderId="2" xfId="0" applyFill="1" applyBorder="1" applyAlignment="1" applyProtection="1">
      <alignment horizontal="center"/>
    </xf>
    <xf numFmtId="0" fontId="0" fillId="2" borderId="7" xfId="0" applyFont="1" applyFill="1" applyBorder="1" applyAlignment="1" applyProtection="1">
      <alignment horizontal="center"/>
    </xf>
    <xf numFmtId="0" fontId="0" fillId="2" borderId="9" xfId="0" applyFont="1" applyFill="1" applyBorder="1" applyAlignment="1" applyProtection="1">
      <alignment horizontal="center"/>
    </xf>
    <xf numFmtId="0" fontId="0" fillId="2" borderId="2" xfId="0" applyFont="1" applyFill="1" applyBorder="1" applyAlignment="1" applyProtection="1">
      <alignment horizontal="center"/>
    </xf>
    <xf numFmtId="0" fontId="0" fillId="2" borderId="4" xfId="0" applyFont="1" applyFill="1" applyBorder="1" applyAlignment="1" applyProtection="1">
      <alignment horizontal="center"/>
    </xf>
    <xf numFmtId="0" fontId="0" fillId="2" borderId="22" xfId="0" applyFill="1" applyBorder="1" applyAlignment="1" applyProtection="1">
      <alignment horizontal="left"/>
    </xf>
    <xf numFmtId="0" fontId="0" fillId="2" borderId="0" xfId="0" applyFill="1" applyBorder="1" applyAlignment="1" applyProtection="1">
      <alignment horizontal="left"/>
    </xf>
    <xf numFmtId="0" fontId="0" fillId="2" borderId="0" xfId="0" applyFill="1" applyBorder="1" applyAlignment="1" applyProtection="1">
      <alignment horizontal="center" wrapText="1"/>
    </xf>
    <xf numFmtId="0" fontId="0" fillId="2" borderId="0" xfId="0" applyFill="1" applyBorder="1" applyAlignment="1" applyProtection="1">
      <alignment horizontal="left" wrapText="1"/>
    </xf>
    <xf numFmtId="0" fontId="5" fillId="2" borderId="0" xfId="0" applyFont="1" applyFill="1" applyBorder="1" applyAlignment="1" applyProtection="1">
      <alignment horizontal="left"/>
    </xf>
    <xf numFmtId="0" fontId="5" fillId="2" borderId="0" xfId="0" applyFont="1" applyFill="1" applyBorder="1" applyAlignment="1" applyProtection="1">
      <alignment horizontal="left" vertical="top"/>
    </xf>
    <xf numFmtId="0" fontId="0" fillId="0" borderId="0" xfId="0" applyFill="1" applyBorder="1" applyAlignment="1" applyProtection="1">
      <alignment horizontal="center"/>
      <protection locked="0"/>
    </xf>
    <xf numFmtId="0" fontId="0" fillId="2" borderId="22" xfId="0" applyFill="1" applyBorder="1" applyAlignment="1" applyProtection="1">
      <alignment horizontal="left"/>
    </xf>
    <xf numFmtId="0" fontId="0" fillId="2" borderId="0" xfId="0" applyFill="1" applyBorder="1" applyAlignment="1" applyProtection="1">
      <alignment horizontal="left"/>
    </xf>
    <xf numFmtId="0" fontId="0" fillId="0" borderId="0" xfId="0" applyFill="1" applyBorder="1" applyAlignment="1" applyProtection="1">
      <alignment horizontal="center"/>
      <protection locked="0"/>
    </xf>
    <xf numFmtId="0" fontId="5" fillId="2" borderId="0" xfId="0" applyFont="1" applyFill="1" applyBorder="1" applyAlignment="1" applyProtection="1">
      <alignment horizontal="left"/>
    </xf>
    <xf numFmtId="0" fontId="0" fillId="2" borderId="0" xfId="0" applyFill="1" applyBorder="1" applyAlignment="1" applyProtection="1">
      <alignment horizontal="left" wrapText="1"/>
    </xf>
    <xf numFmtId="0" fontId="5" fillId="2" borderId="0" xfId="0" applyFont="1" applyFill="1" applyBorder="1" applyAlignment="1" applyProtection="1">
      <alignment horizontal="left" vertical="top"/>
    </xf>
    <xf numFmtId="0" fontId="0" fillId="2" borderId="0" xfId="0" applyFill="1" applyBorder="1" applyAlignment="1" applyProtection="1">
      <alignment horizontal="center" wrapText="1"/>
    </xf>
    <xf numFmtId="0" fontId="0" fillId="2" borderId="2" xfId="0" applyFont="1" applyFill="1" applyBorder="1" applyAlignment="1" applyProtection="1">
      <alignment horizontal="center"/>
    </xf>
    <xf numFmtId="0" fontId="0" fillId="2" borderId="4" xfId="0" applyFont="1" applyFill="1" applyBorder="1" applyAlignment="1" applyProtection="1">
      <alignment horizontal="center"/>
    </xf>
    <xf numFmtId="0" fontId="0" fillId="2" borderId="7" xfId="0" applyFont="1" applyFill="1" applyBorder="1" applyAlignment="1" applyProtection="1">
      <alignment horizontal="center"/>
    </xf>
    <xf numFmtId="0" fontId="0" fillId="2" borderId="9" xfId="0" applyFont="1" applyFill="1" applyBorder="1" applyAlignment="1" applyProtection="1">
      <alignment horizontal="center"/>
    </xf>
    <xf numFmtId="0" fontId="0" fillId="2" borderId="2" xfId="0" applyFill="1" applyBorder="1" applyAlignment="1" applyProtection="1">
      <alignment horizontal="center"/>
    </xf>
    <xf numFmtId="0" fontId="0" fillId="2" borderId="5" xfId="0" applyFill="1" applyBorder="1" applyAlignment="1" applyProtection="1">
      <alignment horizontal="center"/>
    </xf>
    <xf numFmtId="0" fontId="0" fillId="2" borderId="0" xfId="0" applyFill="1" applyBorder="1" applyAlignment="1" applyProtection="1">
      <alignment horizontal="center"/>
    </xf>
    <xf numFmtId="0" fontId="0" fillId="0" borderId="0" xfId="0" applyFill="1" applyBorder="1" applyAlignment="1" applyProtection="1">
      <alignment horizontal="left"/>
      <protection locked="0"/>
    </xf>
    <xf numFmtId="0" fontId="0" fillId="2" borderId="5" xfId="0" applyFill="1" applyBorder="1" applyAlignment="1" applyProtection="1">
      <alignment horizontal="center"/>
    </xf>
    <xf numFmtId="0" fontId="0" fillId="2" borderId="0" xfId="0" applyFill="1" applyBorder="1" applyAlignment="1" applyProtection="1">
      <alignment horizontal="center"/>
    </xf>
    <xf numFmtId="0" fontId="0" fillId="0" borderId="25" xfId="0" applyFill="1" applyBorder="1" applyAlignment="1" applyProtection="1">
      <alignment horizontal="left"/>
      <protection locked="0"/>
    </xf>
    <xf numFmtId="0" fontId="0" fillId="2" borderId="24" xfId="0" applyFill="1" applyBorder="1" applyAlignment="1" applyProtection="1">
      <alignment horizontal="center"/>
    </xf>
    <xf numFmtId="0" fontId="0" fillId="2" borderId="25" xfId="0" applyFill="1" applyBorder="1" applyAlignment="1" applyProtection="1">
      <alignment horizontal="center"/>
    </xf>
    <xf numFmtId="0" fontId="0" fillId="2" borderId="2" xfId="0" applyFill="1" applyBorder="1" applyAlignment="1" applyProtection="1">
      <alignment horizontal="center"/>
    </xf>
    <xf numFmtId="0" fontId="0" fillId="2" borderId="3" xfId="0" applyFill="1" applyBorder="1" applyAlignment="1" applyProtection="1">
      <alignment horizontal="center"/>
    </xf>
    <xf numFmtId="0" fontId="0" fillId="2" borderId="13" xfId="0" applyFont="1" applyFill="1" applyBorder="1" applyAlignment="1" applyProtection="1">
      <alignment horizontal="center" wrapText="1"/>
    </xf>
    <xf numFmtId="0" fontId="0" fillId="2" borderId="14" xfId="0" applyFont="1" applyFill="1" applyBorder="1" applyAlignment="1" applyProtection="1">
      <alignment horizontal="center" wrapText="1"/>
    </xf>
    <xf numFmtId="0" fontId="0" fillId="2" borderId="17" xfId="0" applyFont="1" applyFill="1" applyBorder="1" applyAlignment="1" applyProtection="1">
      <alignment horizontal="center" wrapText="1"/>
    </xf>
    <xf numFmtId="0" fontId="5" fillId="2" borderId="8" xfId="0" applyFont="1" applyFill="1" applyBorder="1" applyAlignment="1" applyProtection="1">
      <alignment horizontal="center"/>
    </xf>
    <xf numFmtId="0" fontId="0" fillId="2" borderId="13" xfId="0" applyFont="1" applyFill="1" applyBorder="1" applyAlignment="1" applyProtection="1">
      <alignment horizontal="center"/>
    </xf>
    <xf numFmtId="0" fontId="0" fillId="2" borderId="15" xfId="0" applyFont="1" applyFill="1" applyBorder="1" applyAlignment="1" applyProtection="1">
      <alignment horizontal="center"/>
    </xf>
    <xf numFmtId="0" fontId="0" fillId="2" borderId="7" xfId="0" applyFont="1" applyFill="1" applyBorder="1" applyAlignment="1" applyProtection="1">
      <alignment horizontal="center"/>
    </xf>
    <xf numFmtId="0" fontId="0" fillId="2" borderId="9" xfId="0" applyFont="1" applyFill="1" applyBorder="1" applyAlignment="1" applyProtection="1">
      <alignment horizontal="center"/>
    </xf>
    <xf numFmtId="0" fontId="0" fillId="2" borderId="1" xfId="0" applyFill="1" applyBorder="1" applyAlignment="1" applyProtection="1">
      <alignment horizontal="center" wrapText="1"/>
    </xf>
    <xf numFmtId="0" fontId="6" fillId="2" borderId="29" xfId="0" applyFont="1" applyFill="1" applyBorder="1" applyAlignment="1" applyProtection="1">
      <alignment horizontal="center"/>
    </xf>
    <xf numFmtId="0" fontId="6" fillId="2" borderId="28" xfId="0" applyFont="1" applyFill="1" applyBorder="1" applyAlignment="1" applyProtection="1">
      <alignment horizontal="center"/>
    </xf>
    <xf numFmtId="0" fontId="6" fillId="2" borderId="26" xfId="0" applyFont="1" applyFill="1" applyBorder="1" applyAlignment="1" applyProtection="1">
      <alignment horizontal="center"/>
    </xf>
    <xf numFmtId="0" fontId="5" fillId="2" borderId="13" xfId="0" applyFont="1" applyFill="1" applyBorder="1" applyAlignment="1" applyProtection="1">
      <alignment horizontal="center"/>
    </xf>
    <xf numFmtId="0" fontId="5" fillId="2" borderId="14" xfId="0" applyFont="1" applyFill="1" applyBorder="1" applyAlignment="1" applyProtection="1">
      <alignment horizontal="center"/>
    </xf>
    <xf numFmtId="0" fontId="5" fillId="2" borderId="15" xfId="0" applyFont="1" applyFill="1" applyBorder="1" applyAlignment="1" applyProtection="1">
      <alignment horizontal="center"/>
    </xf>
    <xf numFmtId="0" fontId="5" fillId="2" borderId="17" xfId="0" applyFont="1" applyFill="1" applyBorder="1" applyAlignment="1" applyProtection="1">
      <alignment horizontal="center"/>
    </xf>
    <xf numFmtId="0" fontId="0" fillId="2" borderId="14" xfId="0" applyFont="1" applyFill="1" applyBorder="1" applyAlignment="1" applyProtection="1">
      <alignment horizontal="center"/>
    </xf>
    <xf numFmtId="0" fontId="0" fillId="2" borderId="2" xfId="0" applyFont="1" applyFill="1" applyBorder="1" applyAlignment="1" applyProtection="1">
      <alignment horizontal="center"/>
    </xf>
    <xf numFmtId="0" fontId="0" fillId="2" borderId="4" xfId="0" applyFont="1" applyFill="1" applyBorder="1" applyAlignment="1" applyProtection="1">
      <alignment horizontal="center"/>
    </xf>
    <xf numFmtId="0" fontId="0" fillId="2" borderId="15" xfId="0" applyFont="1" applyFill="1" applyBorder="1" applyAlignment="1" applyProtection="1">
      <alignment horizontal="center" wrapText="1"/>
    </xf>
    <xf numFmtId="0" fontId="0" fillId="2" borderId="22" xfId="0" applyFill="1" applyBorder="1" applyAlignment="1" applyProtection="1">
      <alignment horizontal="left"/>
    </xf>
    <xf numFmtId="0" fontId="0" fillId="2" borderId="0" xfId="0" applyFill="1" applyBorder="1" applyAlignment="1" applyProtection="1">
      <alignment horizontal="left"/>
    </xf>
    <xf numFmtId="0" fontId="0" fillId="2" borderId="0" xfId="0" applyFill="1" applyBorder="1" applyAlignment="1" applyProtection="1">
      <alignment horizontal="center" wrapText="1"/>
    </xf>
    <xf numFmtId="0" fontId="0" fillId="2" borderId="30" xfId="0" applyFill="1" applyBorder="1" applyAlignment="1" applyProtection="1">
      <alignment horizontal="center" wrapText="1"/>
    </xf>
    <xf numFmtId="0" fontId="0" fillId="2" borderId="22" xfId="0" applyFill="1" applyBorder="1" applyAlignment="1" applyProtection="1">
      <alignment horizontal="left" wrapText="1"/>
    </xf>
    <xf numFmtId="0" fontId="0" fillId="2" borderId="0" xfId="0" applyFill="1" applyBorder="1" applyAlignment="1" applyProtection="1">
      <alignment horizontal="left" wrapText="1"/>
    </xf>
    <xf numFmtId="0" fontId="0" fillId="2" borderId="30" xfId="0" applyFill="1" applyBorder="1" applyAlignment="1" applyProtection="1">
      <alignment horizontal="left" wrapText="1"/>
    </xf>
    <xf numFmtId="0" fontId="0" fillId="2" borderId="23" xfId="0" applyFill="1" applyBorder="1" applyAlignment="1" applyProtection="1">
      <alignment horizontal="left" wrapText="1"/>
    </xf>
    <xf numFmtId="0" fontId="0" fillId="2" borderId="25" xfId="0" applyFill="1" applyBorder="1" applyAlignment="1" applyProtection="1">
      <alignment horizontal="left" wrapText="1"/>
    </xf>
    <xf numFmtId="0" fontId="0" fillId="2" borderId="31" xfId="0" applyFill="1" applyBorder="1" applyAlignment="1" applyProtection="1">
      <alignment horizontal="left" wrapText="1"/>
    </xf>
    <xf numFmtId="0" fontId="0" fillId="2" borderId="30" xfId="0" applyFill="1" applyBorder="1" applyAlignment="1" applyProtection="1">
      <alignment horizontal="left"/>
    </xf>
    <xf numFmtId="0" fontId="8" fillId="3" borderId="25" xfId="0" quotePrefix="1" applyFont="1" applyFill="1" applyBorder="1" applyAlignment="1" applyProtection="1">
      <alignment horizontal="center"/>
    </xf>
    <xf numFmtId="0" fontId="11" fillId="2" borderId="25" xfId="0" quotePrefix="1" applyFont="1" applyFill="1" applyBorder="1" applyAlignment="1" applyProtection="1">
      <alignment horizontal="center"/>
    </xf>
    <xf numFmtId="0" fontId="9" fillId="4" borderId="25" xfId="0" quotePrefix="1" applyFont="1" applyFill="1" applyBorder="1" applyAlignment="1" applyProtection="1">
      <alignment horizontal="center"/>
    </xf>
    <xf numFmtId="0" fontId="9" fillId="4" borderId="31" xfId="0" quotePrefix="1" applyFont="1" applyFill="1" applyBorder="1" applyAlignment="1" applyProtection="1">
      <alignment horizontal="center"/>
    </xf>
    <xf numFmtId="0" fontId="0" fillId="2" borderId="23" xfId="0" applyFill="1" applyBorder="1" applyAlignment="1" applyProtection="1">
      <alignment horizontal="left"/>
    </xf>
    <xf numFmtId="0" fontId="0" fillId="2" borderId="25" xfId="0" applyFill="1" applyBorder="1" applyAlignment="1" applyProtection="1">
      <alignment horizontal="left"/>
    </xf>
    <xf numFmtId="0" fontId="0" fillId="2" borderId="31" xfId="0" applyFill="1" applyBorder="1" applyAlignment="1" applyProtection="1">
      <alignment horizontal="left"/>
    </xf>
    <xf numFmtId="164" fontId="0" fillId="0" borderId="0" xfId="0" applyNumberFormat="1" applyFill="1" applyBorder="1" applyAlignment="1" applyProtection="1">
      <alignment horizontal="center"/>
      <protection locked="0"/>
    </xf>
    <xf numFmtId="164" fontId="0" fillId="0" borderId="30" xfId="0" applyNumberFormat="1" applyFill="1" applyBorder="1" applyAlignment="1" applyProtection="1">
      <alignment horizontal="center"/>
      <protection locked="0"/>
    </xf>
    <xf numFmtId="0" fontId="6" fillId="2" borderId="29" xfId="0" applyFont="1" applyFill="1" applyBorder="1" applyAlignment="1" applyProtection="1">
      <alignment horizontal="left"/>
    </xf>
    <xf numFmtId="0" fontId="6" fillId="2" borderId="28" xfId="0" applyFont="1" applyFill="1" applyBorder="1" applyAlignment="1" applyProtection="1">
      <alignment horizontal="left"/>
    </xf>
    <xf numFmtId="0" fontId="6" fillId="2" borderId="26" xfId="0" applyFont="1" applyFill="1" applyBorder="1" applyAlignment="1" applyProtection="1">
      <alignment horizontal="left"/>
    </xf>
    <xf numFmtId="0" fontId="0" fillId="5" borderId="0" xfId="0" applyFill="1" applyBorder="1" applyAlignment="1" applyProtection="1">
      <alignment horizontal="center"/>
      <protection locked="0"/>
    </xf>
    <xf numFmtId="0" fontId="0" fillId="5" borderId="30" xfId="0" applyFill="1" applyBorder="1" applyAlignment="1" applyProtection="1">
      <alignment horizontal="center"/>
      <protection locked="0"/>
    </xf>
    <xf numFmtId="0" fontId="5" fillId="2" borderId="22" xfId="0" applyFont="1" applyFill="1" applyBorder="1" applyAlignment="1" applyProtection="1">
      <alignment horizontal="left"/>
    </xf>
    <xf numFmtId="0" fontId="5" fillId="2" borderId="0" xfId="0" applyFont="1" applyFill="1" applyBorder="1" applyAlignment="1" applyProtection="1">
      <alignment horizontal="left"/>
    </xf>
    <xf numFmtId="0" fontId="5" fillId="2" borderId="30" xfId="0" applyFont="1" applyFill="1" applyBorder="1" applyAlignment="1" applyProtection="1">
      <alignment horizontal="left"/>
    </xf>
    <xf numFmtId="0" fontId="5" fillId="2" borderId="22" xfId="0" applyFont="1" applyFill="1" applyBorder="1" applyAlignment="1" applyProtection="1">
      <alignment horizontal="left" vertical="top"/>
    </xf>
    <xf numFmtId="0" fontId="5" fillId="2" borderId="0" xfId="0" applyFont="1" applyFill="1" applyBorder="1" applyAlignment="1" applyProtection="1">
      <alignment horizontal="left" vertical="top"/>
    </xf>
    <xf numFmtId="0" fontId="5" fillId="2" borderId="30" xfId="0" applyFont="1" applyFill="1" applyBorder="1" applyAlignment="1" applyProtection="1">
      <alignment horizontal="left" vertical="top"/>
    </xf>
    <xf numFmtId="0" fontId="0" fillId="0" borderId="0" xfId="0" applyFill="1" applyBorder="1" applyAlignment="1" applyProtection="1">
      <alignment horizontal="center"/>
      <protection locked="0"/>
    </xf>
    <xf numFmtId="0" fontId="0" fillId="0" borderId="30" xfId="0" applyFill="1" applyBorder="1" applyAlignment="1" applyProtection="1">
      <alignment horizontal="center"/>
      <protection locked="0"/>
    </xf>
    <xf numFmtId="0" fontId="0" fillId="2" borderId="22" xfId="0" applyFill="1" applyBorder="1" applyAlignment="1" applyProtection="1">
      <alignment horizontal="left" vertical="top"/>
    </xf>
    <xf numFmtId="0" fontId="0" fillId="2" borderId="23" xfId="0" applyFill="1" applyBorder="1" applyAlignment="1" applyProtection="1">
      <alignment horizontal="left" vertical="top"/>
    </xf>
    <xf numFmtId="0" fontId="0" fillId="0" borderId="0" xfId="0" applyFill="1" applyBorder="1" applyAlignment="1" applyProtection="1">
      <alignment horizontal="left" vertical="top" wrapText="1"/>
      <protection locked="0"/>
    </xf>
    <xf numFmtId="0" fontId="0" fillId="0" borderId="30" xfId="0" applyFill="1" applyBorder="1" applyAlignment="1" applyProtection="1">
      <alignment horizontal="left" vertical="top" wrapText="1"/>
      <protection locked="0"/>
    </xf>
    <xf numFmtId="0" fontId="0" fillId="0" borderId="25" xfId="0" applyFill="1" applyBorder="1" applyAlignment="1" applyProtection="1">
      <alignment horizontal="left" vertical="top" wrapText="1"/>
      <protection locked="0"/>
    </xf>
    <xf numFmtId="0" fontId="0" fillId="0" borderId="31" xfId="0" applyFill="1" applyBorder="1" applyAlignment="1" applyProtection="1">
      <alignment horizontal="left" vertical="top" wrapText="1"/>
      <protection locked="0"/>
    </xf>
    <xf numFmtId="165" fontId="0" fillId="0" borderId="0" xfId="0" applyNumberFormat="1" applyFill="1" applyBorder="1" applyAlignment="1" applyProtection="1">
      <alignment horizontal="left" vertical="top"/>
      <protection locked="0"/>
    </xf>
    <xf numFmtId="165" fontId="0" fillId="0" borderId="30" xfId="0" applyNumberFormat="1" applyFill="1" applyBorder="1" applyAlignment="1" applyProtection="1">
      <alignment horizontal="left" vertical="top"/>
      <protection locked="0"/>
    </xf>
    <xf numFmtId="0" fontId="2" fillId="2" borderId="10" xfId="1" applyFont="1" applyFill="1" applyBorder="1" applyAlignment="1" applyProtection="1">
      <alignment horizontal="center" vertical="top" wrapText="1"/>
    </xf>
    <xf numFmtId="0" fontId="2" fillId="2" borderId="11" xfId="1" applyFont="1" applyFill="1" applyBorder="1" applyAlignment="1" applyProtection="1">
      <alignment horizontal="center" vertical="top" wrapText="1"/>
    </xf>
    <xf numFmtId="0" fontId="2" fillId="2" borderId="13" xfId="1" applyFont="1" applyFill="1" applyBorder="1" applyAlignment="1" applyProtection="1">
      <alignment horizontal="center"/>
    </xf>
    <xf numFmtId="0" fontId="2" fillId="2" borderId="14" xfId="1" applyFont="1" applyFill="1" applyBorder="1" applyAlignment="1" applyProtection="1">
      <alignment horizontal="center"/>
    </xf>
    <xf numFmtId="0" fontId="2" fillId="2" borderId="15" xfId="1" applyFont="1" applyFill="1" applyBorder="1" applyAlignment="1" applyProtection="1">
      <alignment horizontal="center"/>
    </xf>
    <xf numFmtId="0" fontId="2" fillId="0" borderId="13" xfId="1" applyFont="1" applyFill="1" applyBorder="1" applyAlignment="1" applyProtection="1">
      <alignment horizontal="center"/>
      <protection locked="0"/>
    </xf>
    <xf numFmtId="0" fontId="2" fillId="0" borderId="14" xfId="1" applyFont="1" applyFill="1" applyBorder="1" applyAlignment="1" applyProtection="1">
      <alignment horizontal="center"/>
      <protection locked="0"/>
    </xf>
    <xf numFmtId="0" fontId="2" fillId="0" borderId="15" xfId="1" applyFont="1" applyFill="1" applyBorder="1" applyAlignment="1" applyProtection="1">
      <alignment horizontal="center"/>
      <protection locked="0"/>
    </xf>
    <xf numFmtId="164" fontId="0" fillId="0" borderId="10" xfId="0" applyNumberFormat="1" applyBorder="1" applyAlignment="1">
      <alignment horizontal="center" vertical="top"/>
    </xf>
    <xf numFmtId="0" fontId="0" fillId="0" borderId="12" xfId="0" applyBorder="1" applyAlignment="1">
      <alignment horizontal="center" vertical="top"/>
    </xf>
    <xf numFmtId="14" fontId="0" fillId="0" borderId="10" xfId="0" applyNumberFormat="1" applyBorder="1" applyAlignment="1">
      <alignment horizontal="center" vertical="top"/>
    </xf>
  </cellXfs>
  <cellStyles count="3">
    <cellStyle name="Comma0" xfId="2" xr:uid="{00000000-0005-0000-0000-000000000000}"/>
    <cellStyle name="Normal" xfId="0" builtinId="0"/>
    <cellStyle name="Normal 2" xfId="1" xr:uid="{00000000-0005-0000-0000-000002000000}"/>
  </cellStyles>
  <dxfs count="15">
    <dxf>
      <font>
        <color rgb="FF9C0006"/>
      </font>
    </dxf>
    <dxf>
      <font>
        <color rgb="FF9C0006"/>
      </font>
    </dxf>
    <dxf>
      <font>
        <color rgb="FF9C0006"/>
      </font>
    </dxf>
    <dxf>
      <fill>
        <patternFill>
          <bgColor theme="0"/>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009969"/>
      <color rgb="FFFFC7CE"/>
      <color rgb="FFFFEB9C"/>
      <color rgb="FFC6EFCE"/>
      <color rgb="FF9C0006"/>
      <color rgb="FF9C6500"/>
      <color rgb="FF006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'AADT Queue Analysis'!$R$31</c:f>
              <c:strCache>
                <c:ptCount val="1"/>
                <c:pt idx="0">
                  <c:v>No lane closure, no diversion</c:v>
                </c:pt>
              </c:strCache>
            </c:strRef>
          </c:tx>
          <c:marker>
            <c:symbol val="triangle"/>
            <c:size val="7"/>
            <c:spPr>
              <a:noFill/>
              <a:ln w="25400"/>
            </c:spPr>
          </c:marker>
          <c:xVal>
            <c:strRef>
              <c:f>'AADT Queue Analysis'!$A$35:$A$58</c:f>
              <c:strCache>
                <c:ptCount val="24"/>
                <c:pt idx="0">
                  <c:v>0:00-1:00</c:v>
                </c:pt>
                <c:pt idx="1">
                  <c:v>1:00-2:00</c:v>
                </c:pt>
                <c:pt idx="2">
                  <c:v>2:00-3:00</c:v>
                </c:pt>
                <c:pt idx="3">
                  <c:v>3:00-4:00</c:v>
                </c:pt>
                <c:pt idx="4">
                  <c:v>4:00-5:00</c:v>
                </c:pt>
                <c:pt idx="5">
                  <c:v>5:00-6:00</c:v>
                </c:pt>
                <c:pt idx="6">
                  <c:v>6:00-7:00</c:v>
                </c:pt>
                <c:pt idx="7">
                  <c:v>7:00-8:00</c:v>
                </c:pt>
                <c:pt idx="8">
                  <c:v>8:00-9:00</c:v>
                </c:pt>
                <c:pt idx="9">
                  <c:v>9:00-10:00</c:v>
                </c:pt>
                <c:pt idx="10">
                  <c:v>10:00-11:00</c:v>
                </c:pt>
                <c:pt idx="11">
                  <c:v>11:00-12:00</c:v>
                </c:pt>
                <c:pt idx="12">
                  <c:v>12:00-13:00</c:v>
                </c:pt>
                <c:pt idx="13">
                  <c:v>13:00-14:00</c:v>
                </c:pt>
                <c:pt idx="14">
                  <c:v>14:00-15:00</c:v>
                </c:pt>
                <c:pt idx="15">
                  <c:v>15:00-16:00</c:v>
                </c:pt>
                <c:pt idx="16">
                  <c:v>16:00-17:00</c:v>
                </c:pt>
                <c:pt idx="17">
                  <c:v>17:00-18:00</c:v>
                </c:pt>
                <c:pt idx="18">
                  <c:v>18:00-19:00</c:v>
                </c:pt>
                <c:pt idx="19">
                  <c:v>19:00-20:00</c:v>
                </c:pt>
                <c:pt idx="20">
                  <c:v>20:00-21:00</c:v>
                </c:pt>
                <c:pt idx="21">
                  <c:v>21:00-22:00</c:v>
                </c:pt>
                <c:pt idx="22">
                  <c:v>22:00-23:00</c:v>
                </c:pt>
                <c:pt idx="23">
                  <c:v>23:00-24:00</c:v>
                </c:pt>
              </c:strCache>
            </c:strRef>
          </c:xVal>
          <c:yVal>
            <c:numRef>
              <c:f>'AADT Queue Analysis'!$S$35:$S$58</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yVal>
          <c:smooth val="0"/>
          <c:extLst>
            <c:ext xmlns:c16="http://schemas.microsoft.com/office/drawing/2014/chart" uri="{C3380CC4-5D6E-409C-BE32-E72D297353CC}">
              <c16:uniqueId val="{00000000-7826-42B3-8C15-F8FD5CD726A2}"/>
            </c:ext>
          </c:extLst>
        </c:ser>
        <c:ser>
          <c:idx val="3"/>
          <c:order val="1"/>
          <c:tx>
            <c:strRef>
              <c:f>'AADT Queue Analysis'!$U$31</c:f>
              <c:strCache>
                <c:ptCount val="1"/>
                <c:pt idx="0">
                  <c:v>No lane closure, with diversion</c:v>
                </c:pt>
              </c:strCache>
            </c:strRef>
          </c:tx>
          <c:marker>
            <c:symbol val="circle"/>
            <c:size val="7"/>
            <c:spPr>
              <a:noFill/>
              <a:ln w="25400"/>
            </c:spPr>
          </c:marker>
          <c:xVal>
            <c:strRef>
              <c:f>'AADT Queue Analysis'!$A$35:$A$58</c:f>
              <c:strCache>
                <c:ptCount val="24"/>
                <c:pt idx="0">
                  <c:v>0:00-1:00</c:v>
                </c:pt>
                <c:pt idx="1">
                  <c:v>1:00-2:00</c:v>
                </c:pt>
                <c:pt idx="2">
                  <c:v>2:00-3:00</c:v>
                </c:pt>
                <c:pt idx="3">
                  <c:v>3:00-4:00</c:v>
                </c:pt>
                <c:pt idx="4">
                  <c:v>4:00-5:00</c:v>
                </c:pt>
                <c:pt idx="5">
                  <c:v>5:00-6:00</c:v>
                </c:pt>
                <c:pt idx="6">
                  <c:v>6:00-7:00</c:v>
                </c:pt>
                <c:pt idx="7">
                  <c:v>7:00-8:00</c:v>
                </c:pt>
                <c:pt idx="8">
                  <c:v>8:00-9:00</c:v>
                </c:pt>
                <c:pt idx="9">
                  <c:v>9:00-10:00</c:v>
                </c:pt>
                <c:pt idx="10">
                  <c:v>10:00-11:00</c:v>
                </c:pt>
                <c:pt idx="11">
                  <c:v>11:00-12:00</c:v>
                </c:pt>
                <c:pt idx="12">
                  <c:v>12:00-13:00</c:v>
                </c:pt>
                <c:pt idx="13">
                  <c:v>13:00-14:00</c:v>
                </c:pt>
                <c:pt idx="14">
                  <c:v>14:00-15:00</c:v>
                </c:pt>
                <c:pt idx="15">
                  <c:v>15:00-16:00</c:v>
                </c:pt>
                <c:pt idx="16">
                  <c:v>16:00-17:00</c:v>
                </c:pt>
                <c:pt idx="17">
                  <c:v>17:00-18:00</c:v>
                </c:pt>
                <c:pt idx="18">
                  <c:v>18:00-19:00</c:v>
                </c:pt>
                <c:pt idx="19">
                  <c:v>19:00-20:00</c:v>
                </c:pt>
                <c:pt idx="20">
                  <c:v>20:00-21:00</c:v>
                </c:pt>
                <c:pt idx="21">
                  <c:v>21:00-22:00</c:v>
                </c:pt>
                <c:pt idx="22">
                  <c:v>22:00-23:00</c:v>
                </c:pt>
                <c:pt idx="23">
                  <c:v>23:00-24:00</c:v>
                </c:pt>
              </c:strCache>
            </c:strRef>
          </c:xVal>
          <c:yVal>
            <c:numRef>
              <c:f>'AADT Queue Analysis'!$V$35:$V$58</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yVal>
          <c:smooth val="0"/>
          <c:extLst>
            <c:ext xmlns:c16="http://schemas.microsoft.com/office/drawing/2014/chart" uri="{C3380CC4-5D6E-409C-BE32-E72D297353CC}">
              <c16:uniqueId val="{00000001-7826-42B3-8C15-F8FD5CD726A2}"/>
            </c:ext>
          </c:extLst>
        </c:ser>
        <c:ser>
          <c:idx val="1"/>
          <c:order val="2"/>
          <c:tx>
            <c:strRef>
              <c:f>'AADT Queue Analysis'!$X$31</c:f>
              <c:strCache>
                <c:ptCount val="1"/>
                <c:pt idx="0">
                  <c:v>Lane(s) closed, no diversion</c:v>
                </c:pt>
              </c:strCache>
            </c:strRef>
          </c:tx>
          <c:marker>
            <c:symbol val="triangle"/>
            <c:size val="7"/>
            <c:spPr>
              <a:ln w="25400"/>
            </c:spPr>
          </c:marker>
          <c:xVal>
            <c:strRef>
              <c:f>'AADT Queue Analysis'!$A$35:$A$58</c:f>
              <c:strCache>
                <c:ptCount val="24"/>
                <c:pt idx="0">
                  <c:v>0:00-1:00</c:v>
                </c:pt>
                <c:pt idx="1">
                  <c:v>1:00-2:00</c:v>
                </c:pt>
                <c:pt idx="2">
                  <c:v>2:00-3:00</c:v>
                </c:pt>
                <c:pt idx="3">
                  <c:v>3:00-4:00</c:v>
                </c:pt>
                <c:pt idx="4">
                  <c:v>4:00-5:00</c:v>
                </c:pt>
                <c:pt idx="5">
                  <c:v>5:00-6:00</c:v>
                </c:pt>
                <c:pt idx="6">
                  <c:v>6:00-7:00</c:v>
                </c:pt>
                <c:pt idx="7">
                  <c:v>7:00-8:00</c:v>
                </c:pt>
                <c:pt idx="8">
                  <c:v>8:00-9:00</c:v>
                </c:pt>
                <c:pt idx="9">
                  <c:v>9:00-10:00</c:v>
                </c:pt>
                <c:pt idx="10">
                  <c:v>10:00-11:00</c:v>
                </c:pt>
                <c:pt idx="11">
                  <c:v>11:00-12:00</c:v>
                </c:pt>
                <c:pt idx="12">
                  <c:v>12:00-13:00</c:v>
                </c:pt>
                <c:pt idx="13">
                  <c:v>13:00-14:00</c:v>
                </c:pt>
                <c:pt idx="14">
                  <c:v>14:00-15:00</c:v>
                </c:pt>
                <c:pt idx="15">
                  <c:v>15:00-16:00</c:v>
                </c:pt>
                <c:pt idx="16">
                  <c:v>16:00-17:00</c:v>
                </c:pt>
                <c:pt idx="17">
                  <c:v>17:00-18:00</c:v>
                </c:pt>
                <c:pt idx="18">
                  <c:v>18:00-19:00</c:v>
                </c:pt>
                <c:pt idx="19">
                  <c:v>19:00-20:00</c:v>
                </c:pt>
                <c:pt idx="20">
                  <c:v>20:00-21:00</c:v>
                </c:pt>
                <c:pt idx="21">
                  <c:v>21:00-22:00</c:v>
                </c:pt>
                <c:pt idx="22">
                  <c:v>22:00-23:00</c:v>
                </c:pt>
                <c:pt idx="23">
                  <c:v>23:00-24:00</c:v>
                </c:pt>
              </c:strCache>
            </c:strRef>
          </c:xVal>
          <c:yVal>
            <c:numRef>
              <c:f>'AADT Queue Analysis'!$Y$35:$Y$58</c:f>
              <c:numCache>
                <c:formatCode>0.0</c:formatCode>
                <c:ptCount val="24"/>
                <c:pt idx="0">
                  <c:v>0</c:v>
                </c:pt>
                <c:pt idx="1">
                  <c:v>0</c:v>
                </c:pt>
                <c:pt idx="2">
                  <c:v>0</c:v>
                </c:pt>
                <c:pt idx="3">
                  <c:v>0</c:v>
                </c:pt>
                <c:pt idx="4">
                  <c:v>0</c:v>
                </c:pt>
                <c:pt idx="5">
                  <c:v>0</c:v>
                </c:pt>
                <c:pt idx="6">
                  <c:v>0.2722537878787879</c:v>
                </c:pt>
                <c:pt idx="7">
                  <c:v>1.7151988636363635</c:v>
                </c:pt>
                <c:pt idx="8">
                  <c:v>2.6491477272727271</c:v>
                </c:pt>
                <c:pt idx="9">
                  <c:v>2.9723011363636362</c:v>
                </c:pt>
                <c:pt idx="10">
                  <c:v>3.1936553030303032</c:v>
                </c:pt>
                <c:pt idx="11">
                  <c:v>3.5677083333333335</c:v>
                </c:pt>
                <c:pt idx="12">
                  <c:v>4.0944602272727275</c:v>
                </c:pt>
                <c:pt idx="13">
                  <c:v>4.6721117424242422</c:v>
                </c:pt>
                <c:pt idx="14">
                  <c:v>5.6060606060606064</c:v>
                </c:pt>
                <c:pt idx="15">
                  <c:v>7.0490056818181817</c:v>
                </c:pt>
                <c:pt idx="16">
                  <c:v>8.7464488636363633</c:v>
                </c:pt>
                <c:pt idx="17">
                  <c:v>10.443892045454545</c:v>
                </c:pt>
                <c:pt idx="18">
                  <c:v>11.123342803030303</c:v>
                </c:pt>
                <c:pt idx="19">
                  <c:v>10.988399621212121</c:v>
                </c:pt>
                <c:pt idx="20">
                  <c:v>10.497159090909092</c:v>
                </c:pt>
                <c:pt idx="21">
                  <c:v>9.7005208333333339</c:v>
                </c:pt>
                <c:pt idx="22">
                  <c:v>8.5475852272727266</c:v>
                </c:pt>
                <c:pt idx="23">
                  <c:v>7.0892518939393936</c:v>
                </c:pt>
              </c:numCache>
            </c:numRef>
          </c:yVal>
          <c:smooth val="0"/>
          <c:extLst>
            <c:ext xmlns:c16="http://schemas.microsoft.com/office/drawing/2014/chart" uri="{C3380CC4-5D6E-409C-BE32-E72D297353CC}">
              <c16:uniqueId val="{00000002-7826-42B3-8C15-F8FD5CD726A2}"/>
            </c:ext>
          </c:extLst>
        </c:ser>
        <c:ser>
          <c:idx val="0"/>
          <c:order val="3"/>
          <c:tx>
            <c:strRef>
              <c:f>'AADT Queue Analysis'!$AA$31</c:f>
              <c:strCache>
                <c:ptCount val="1"/>
                <c:pt idx="0">
                  <c:v>Lane(s) closed, with diversion</c:v>
                </c:pt>
              </c:strCache>
            </c:strRef>
          </c:tx>
          <c:marker>
            <c:symbol val="circle"/>
            <c:size val="7"/>
            <c:spPr>
              <a:solidFill>
                <a:schemeClr val="accent1"/>
              </a:solidFill>
              <a:ln w="25400"/>
            </c:spPr>
          </c:marker>
          <c:xVal>
            <c:strRef>
              <c:f>'AADT Queue Analysis'!$A$35:$A$58</c:f>
              <c:strCache>
                <c:ptCount val="24"/>
                <c:pt idx="0">
                  <c:v>0:00-1:00</c:v>
                </c:pt>
                <c:pt idx="1">
                  <c:v>1:00-2:00</c:v>
                </c:pt>
                <c:pt idx="2">
                  <c:v>2:00-3:00</c:v>
                </c:pt>
                <c:pt idx="3">
                  <c:v>3:00-4:00</c:v>
                </c:pt>
                <c:pt idx="4">
                  <c:v>4:00-5:00</c:v>
                </c:pt>
                <c:pt idx="5">
                  <c:v>5:00-6:00</c:v>
                </c:pt>
                <c:pt idx="6">
                  <c:v>6:00-7:00</c:v>
                </c:pt>
                <c:pt idx="7">
                  <c:v>7:00-8:00</c:v>
                </c:pt>
                <c:pt idx="8">
                  <c:v>8:00-9:00</c:v>
                </c:pt>
                <c:pt idx="9">
                  <c:v>9:00-10:00</c:v>
                </c:pt>
                <c:pt idx="10">
                  <c:v>10:00-11:00</c:v>
                </c:pt>
                <c:pt idx="11">
                  <c:v>11:00-12:00</c:v>
                </c:pt>
                <c:pt idx="12">
                  <c:v>12:00-13:00</c:v>
                </c:pt>
                <c:pt idx="13">
                  <c:v>13:00-14:00</c:v>
                </c:pt>
                <c:pt idx="14">
                  <c:v>14:00-15:00</c:v>
                </c:pt>
                <c:pt idx="15">
                  <c:v>15:00-16:00</c:v>
                </c:pt>
                <c:pt idx="16">
                  <c:v>16:00-17:00</c:v>
                </c:pt>
                <c:pt idx="17">
                  <c:v>17:00-18:00</c:v>
                </c:pt>
                <c:pt idx="18">
                  <c:v>18:00-19:00</c:v>
                </c:pt>
                <c:pt idx="19">
                  <c:v>19:00-20:00</c:v>
                </c:pt>
                <c:pt idx="20">
                  <c:v>20:00-21:00</c:v>
                </c:pt>
                <c:pt idx="21">
                  <c:v>21:00-22:00</c:v>
                </c:pt>
                <c:pt idx="22">
                  <c:v>22:00-23:00</c:v>
                </c:pt>
                <c:pt idx="23">
                  <c:v>23:00-24:00</c:v>
                </c:pt>
              </c:strCache>
            </c:strRef>
          </c:xVal>
          <c:yVal>
            <c:numRef>
              <c:f>'AADT Queue Analysis'!$AB$35:$AB$58</c:f>
              <c:numCache>
                <c:formatCode>0.0</c:formatCode>
                <c:ptCount val="24"/>
                <c:pt idx="0">
                  <c:v>0</c:v>
                </c:pt>
                <c:pt idx="1">
                  <c:v>0</c:v>
                </c:pt>
                <c:pt idx="2">
                  <c:v>0</c:v>
                </c:pt>
                <c:pt idx="3">
                  <c:v>0</c:v>
                </c:pt>
                <c:pt idx="4">
                  <c:v>0</c:v>
                </c:pt>
                <c:pt idx="5">
                  <c:v>0</c:v>
                </c:pt>
                <c:pt idx="6">
                  <c:v>0.2722537878787879</c:v>
                </c:pt>
                <c:pt idx="7">
                  <c:v>1.7151988636363635</c:v>
                </c:pt>
                <c:pt idx="8">
                  <c:v>2.6491477272727271</c:v>
                </c:pt>
                <c:pt idx="9">
                  <c:v>2.9723011363636362</c:v>
                </c:pt>
                <c:pt idx="10">
                  <c:v>3.1936553030303032</c:v>
                </c:pt>
                <c:pt idx="11">
                  <c:v>3.5677083333333335</c:v>
                </c:pt>
                <c:pt idx="12">
                  <c:v>4.0944602272727275</c:v>
                </c:pt>
                <c:pt idx="13">
                  <c:v>4.6721117424242422</c:v>
                </c:pt>
                <c:pt idx="14">
                  <c:v>5.6060606060606064</c:v>
                </c:pt>
                <c:pt idx="15">
                  <c:v>7.0490056818181817</c:v>
                </c:pt>
                <c:pt idx="16">
                  <c:v>8.7464488636363633</c:v>
                </c:pt>
                <c:pt idx="17">
                  <c:v>10.443892045454545</c:v>
                </c:pt>
                <c:pt idx="18">
                  <c:v>11.123342803030303</c:v>
                </c:pt>
                <c:pt idx="19">
                  <c:v>10.988399621212121</c:v>
                </c:pt>
                <c:pt idx="20">
                  <c:v>10.497159090909092</c:v>
                </c:pt>
                <c:pt idx="21">
                  <c:v>9.7005208333333339</c:v>
                </c:pt>
                <c:pt idx="22">
                  <c:v>8.5475852272727266</c:v>
                </c:pt>
                <c:pt idx="23">
                  <c:v>7.0892518939393936</c:v>
                </c:pt>
              </c:numCache>
            </c:numRef>
          </c:yVal>
          <c:smooth val="0"/>
          <c:extLst>
            <c:ext xmlns:c16="http://schemas.microsoft.com/office/drawing/2014/chart" uri="{C3380CC4-5D6E-409C-BE32-E72D297353CC}">
              <c16:uniqueId val="{00000003-7826-42B3-8C15-F8FD5CD726A2}"/>
            </c:ext>
          </c:extLst>
        </c:ser>
        <c:dLbls>
          <c:showLegendKey val="0"/>
          <c:showVal val="0"/>
          <c:showCatName val="0"/>
          <c:showSerName val="0"/>
          <c:showPercent val="0"/>
          <c:showBubbleSize val="0"/>
        </c:dLbls>
        <c:axId val="170200448"/>
        <c:axId val="170499072"/>
      </c:scatterChart>
      <c:valAx>
        <c:axId val="170200448"/>
        <c:scaling>
          <c:orientation val="minMax"/>
          <c:max val="24"/>
          <c:min val="0"/>
        </c:scaling>
        <c:delete val="0"/>
        <c:axPos val="b"/>
        <c:title>
          <c:tx>
            <c:rich>
              <a:bodyPr/>
              <a:lstStyle/>
              <a:p>
                <a:pPr>
                  <a:defRPr/>
                </a:pPr>
                <a:r>
                  <a:rPr lang="en-US"/>
                  <a:t>End of time interval, h</a:t>
                </a:r>
              </a:p>
            </c:rich>
          </c:tx>
          <c:overlay val="0"/>
        </c:title>
        <c:majorTickMark val="none"/>
        <c:minorTickMark val="none"/>
        <c:tickLblPos val="nextTo"/>
        <c:crossAx val="170499072"/>
        <c:crosses val="autoZero"/>
        <c:crossBetween val="midCat"/>
        <c:majorUnit val="1"/>
      </c:valAx>
      <c:valAx>
        <c:axId val="170499072"/>
        <c:scaling>
          <c:orientation val="minMax"/>
        </c:scaling>
        <c:delete val="0"/>
        <c:axPos val="l"/>
        <c:majorGridlines/>
        <c:title>
          <c:tx>
            <c:rich>
              <a:bodyPr/>
              <a:lstStyle/>
              <a:p>
                <a:pPr>
                  <a:defRPr/>
                </a:pPr>
                <a:r>
                  <a:rPr lang="en-US"/>
                  <a:t>Length of queue at the end of time interval, miles</a:t>
                </a:r>
              </a:p>
            </c:rich>
          </c:tx>
          <c:overlay val="0"/>
        </c:title>
        <c:numFmt formatCode="0.0" sourceLinked="1"/>
        <c:majorTickMark val="none"/>
        <c:minorTickMark val="none"/>
        <c:tickLblPos val="nextTo"/>
        <c:crossAx val="170200448"/>
        <c:crosses val="autoZero"/>
        <c:crossBetween val="midCat"/>
      </c:valAx>
      <c:spPr>
        <a:solidFill>
          <a:schemeClr val="bg1">
            <a:lumMod val="85000"/>
          </a:schemeClr>
        </a:solidFill>
      </c:spPr>
    </c:plotArea>
    <c:legend>
      <c:legendPos val="b"/>
      <c:overlay val="0"/>
    </c:legend>
    <c:plotVisOnly val="1"/>
    <c:dispBlanksAs val="gap"/>
    <c:showDLblsOverMax val="0"/>
  </c:chart>
  <c:spPr>
    <a:solidFill>
      <a:schemeClr val="bg1">
        <a:lumMod val="85000"/>
      </a:schemeClr>
    </a:solidFill>
    <a:ln>
      <a:noFill/>
    </a:ln>
  </c:spPr>
  <c:txPr>
    <a:bodyPr/>
    <a:lstStyle/>
    <a:p>
      <a:pPr>
        <a:defRPr sz="1100"/>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0"/>
          <c:tx>
            <c:strRef>
              <c:f>'Hourly Queue Analysis'!$R$31</c:f>
              <c:strCache>
                <c:ptCount val="1"/>
                <c:pt idx="0">
                  <c:v>No lane closure, no diversion</c:v>
                </c:pt>
              </c:strCache>
            </c:strRef>
          </c:tx>
          <c:marker>
            <c:symbol val="triangle"/>
            <c:size val="7"/>
            <c:spPr>
              <a:noFill/>
              <a:ln w="25400"/>
            </c:spPr>
          </c:marker>
          <c:xVal>
            <c:strRef>
              <c:f>'Hourly Queue Analysis'!$A$35:$A$58</c:f>
              <c:strCache>
                <c:ptCount val="24"/>
                <c:pt idx="0">
                  <c:v>0:00-1:00</c:v>
                </c:pt>
                <c:pt idx="1">
                  <c:v>1:00-2:00</c:v>
                </c:pt>
                <c:pt idx="2">
                  <c:v>2:00-3:00</c:v>
                </c:pt>
                <c:pt idx="3">
                  <c:v>3:00-4:00</c:v>
                </c:pt>
                <c:pt idx="4">
                  <c:v>4:00-5:00</c:v>
                </c:pt>
                <c:pt idx="5">
                  <c:v>5:00-6:00</c:v>
                </c:pt>
                <c:pt idx="6">
                  <c:v>6:00-7:00</c:v>
                </c:pt>
                <c:pt idx="7">
                  <c:v>7:00-8:00</c:v>
                </c:pt>
                <c:pt idx="8">
                  <c:v>8:00-9:00</c:v>
                </c:pt>
                <c:pt idx="9">
                  <c:v>9:00-10:00</c:v>
                </c:pt>
                <c:pt idx="10">
                  <c:v>10:00-11:00</c:v>
                </c:pt>
                <c:pt idx="11">
                  <c:v>11:00-12:00</c:v>
                </c:pt>
                <c:pt idx="12">
                  <c:v>12:00-13:00</c:v>
                </c:pt>
                <c:pt idx="13">
                  <c:v>13:00-14:00</c:v>
                </c:pt>
                <c:pt idx="14">
                  <c:v>14:00-15:00</c:v>
                </c:pt>
                <c:pt idx="15">
                  <c:v>15:00-16:00</c:v>
                </c:pt>
                <c:pt idx="16">
                  <c:v>16:00-17:00</c:v>
                </c:pt>
                <c:pt idx="17">
                  <c:v>17:00-18:00</c:v>
                </c:pt>
                <c:pt idx="18">
                  <c:v>18:00-19:00</c:v>
                </c:pt>
                <c:pt idx="19">
                  <c:v>19:00-20:00</c:v>
                </c:pt>
                <c:pt idx="20">
                  <c:v>20:00-21:00</c:v>
                </c:pt>
                <c:pt idx="21">
                  <c:v>21:00-22:00</c:v>
                </c:pt>
                <c:pt idx="22">
                  <c:v>22:00-23:00</c:v>
                </c:pt>
                <c:pt idx="23">
                  <c:v>23:00-24:00</c:v>
                </c:pt>
              </c:strCache>
            </c:strRef>
          </c:xVal>
          <c:yVal>
            <c:numRef>
              <c:f>'Hourly Queue Analysis'!$S$35:$S$58</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yVal>
          <c:smooth val="0"/>
          <c:extLst>
            <c:ext xmlns:c16="http://schemas.microsoft.com/office/drawing/2014/chart" uri="{C3380CC4-5D6E-409C-BE32-E72D297353CC}">
              <c16:uniqueId val="{00000000-DF9A-438D-BE43-BEB768DADA0E}"/>
            </c:ext>
          </c:extLst>
        </c:ser>
        <c:ser>
          <c:idx val="3"/>
          <c:order val="1"/>
          <c:tx>
            <c:strRef>
              <c:f>'Hourly Queue Analysis'!$U$31</c:f>
              <c:strCache>
                <c:ptCount val="1"/>
                <c:pt idx="0">
                  <c:v>No lane closure, with diversion</c:v>
                </c:pt>
              </c:strCache>
            </c:strRef>
          </c:tx>
          <c:marker>
            <c:symbol val="circle"/>
            <c:size val="7"/>
            <c:spPr>
              <a:noFill/>
              <a:ln w="25400"/>
            </c:spPr>
          </c:marker>
          <c:xVal>
            <c:strRef>
              <c:f>'Hourly Queue Analysis'!$A$35:$A$58</c:f>
              <c:strCache>
                <c:ptCount val="24"/>
                <c:pt idx="0">
                  <c:v>0:00-1:00</c:v>
                </c:pt>
                <c:pt idx="1">
                  <c:v>1:00-2:00</c:v>
                </c:pt>
                <c:pt idx="2">
                  <c:v>2:00-3:00</c:v>
                </c:pt>
                <c:pt idx="3">
                  <c:v>3:00-4:00</c:v>
                </c:pt>
                <c:pt idx="4">
                  <c:v>4:00-5:00</c:v>
                </c:pt>
                <c:pt idx="5">
                  <c:v>5:00-6:00</c:v>
                </c:pt>
                <c:pt idx="6">
                  <c:v>6:00-7:00</c:v>
                </c:pt>
                <c:pt idx="7">
                  <c:v>7:00-8:00</c:v>
                </c:pt>
                <c:pt idx="8">
                  <c:v>8:00-9:00</c:v>
                </c:pt>
                <c:pt idx="9">
                  <c:v>9:00-10:00</c:v>
                </c:pt>
                <c:pt idx="10">
                  <c:v>10:00-11:00</c:v>
                </c:pt>
                <c:pt idx="11">
                  <c:v>11:00-12:00</c:v>
                </c:pt>
                <c:pt idx="12">
                  <c:v>12:00-13:00</c:v>
                </c:pt>
                <c:pt idx="13">
                  <c:v>13:00-14:00</c:v>
                </c:pt>
                <c:pt idx="14">
                  <c:v>14:00-15:00</c:v>
                </c:pt>
                <c:pt idx="15">
                  <c:v>15:00-16:00</c:v>
                </c:pt>
                <c:pt idx="16">
                  <c:v>16:00-17:00</c:v>
                </c:pt>
                <c:pt idx="17">
                  <c:v>17:00-18:00</c:v>
                </c:pt>
                <c:pt idx="18">
                  <c:v>18:00-19:00</c:v>
                </c:pt>
                <c:pt idx="19">
                  <c:v>19:00-20:00</c:v>
                </c:pt>
                <c:pt idx="20">
                  <c:v>20:00-21:00</c:v>
                </c:pt>
                <c:pt idx="21">
                  <c:v>21:00-22:00</c:v>
                </c:pt>
                <c:pt idx="22">
                  <c:v>22:00-23:00</c:v>
                </c:pt>
                <c:pt idx="23">
                  <c:v>23:00-24:00</c:v>
                </c:pt>
              </c:strCache>
            </c:strRef>
          </c:xVal>
          <c:yVal>
            <c:numRef>
              <c:f>'Hourly Queue Analysis'!$V$35:$V$58</c:f>
              <c:numCache>
                <c:formatCode>0.0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yVal>
          <c:smooth val="0"/>
          <c:extLst>
            <c:ext xmlns:c16="http://schemas.microsoft.com/office/drawing/2014/chart" uri="{C3380CC4-5D6E-409C-BE32-E72D297353CC}">
              <c16:uniqueId val="{00000001-DF9A-438D-BE43-BEB768DADA0E}"/>
            </c:ext>
          </c:extLst>
        </c:ser>
        <c:ser>
          <c:idx val="1"/>
          <c:order val="2"/>
          <c:tx>
            <c:strRef>
              <c:f>'Hourly Queue Analysis'!$X$31</c:f>
              <c:strCache>
                <c:ptCount val="1"/>
                <c:pt idx="0">
                  <c:v>Lane(s) closed, no diversion</c:v>
                </c:pt>
              </c:strCache>
            </c:strRef>
          </c:tx>
          <c:marker>
            <c:symbol val="triangle"/>
            <c:size val="7"/>
            <c:spPr>
              <a:ln w="25400"/>
            </c:spPr>
          </c:marker>
          <c:xVal>
            <c:strRef>
              <c:f>'Hourly Queue Analysis'!$A$35:$A$58</c:f>
              <c:strCache>
                <c:ptCount val="24"/>
                <c:pt idx="0">
                  <c:v>0:00-1:00</c:v>
                </c:pt>
                <c:pt idx="1">
                  <c:v>1:00-2:00</c:v>
                </c:pt>
                <c:pt idx="2">
                  <c:v>2:00-3:00</c:v>
                </c:pt>
                <c:pt idx="3">
                  <c:v>3:00-4:00</c:v>
                </c:pt>
                <c:pt idx="4">
                  <c:v>4:00-5:00</c:v>
                </c:pt>
                <c:pt idx="5">
                  <c:v>5:00-6:00</c:v>
                </c:pt>
                <c:pt idx="6">
                  <c:v>6:00-7:00</c:v>
                </c:pt>
                <c:pt idx="7">
                  <c:v>7:00-8:00</c:v>
                </c:pt>
                <c:pt idx="8">
                  <c:v>8:00-9:00</c:v>
                </c:pt>
                <c:pt idx="9">
                  <c:v>9:00-10:00</c:v>
                </c:pt>
                <c:pt idx="10">
                  <c:v>10:00-11:00</c:v>
                </c:pt>
                <c:pt idx="11">
                  <c:v>11:00-12:00</c:v>
                </c:pt>
                <c:pt idx="12">
                  <c:v>12:00-13:00</c:v>
                </c:pt>
                <c:pt idx="13">
                  <c:v>13:00-14:00</c:v>
                </c:pt>
                <c:pt idx="14">
                  <c:v>14:00-15:00</c:v>
                </c:pt>
                <c:pt idx="15">
                  <c:v>15:00-16:00</c:v>
                </c:pt>
                <c:pt idx="16">
                  <c:v>16:00-17:00</c:v>
                </c:pt>
                <c:pt idx="17">
                  <c:v>17:00-18:00</c:v>
                </c:pt>
                <c:pt idx="18">
                  <c:v>18:00-19:00</c:v>
                </c:pt>
                <c:pt idx="19">
                  <c:v>19:00-20:00</c:v>
                </c:pt>
                <c:pt idx="20">
                  <c:v>20:00-21:00</c:v>
                </c:pt>
                <c:pt idx="21">
                  <c:v>21:00-22:00</c:v>
                </c:pt>
                <c:pt idx="22">
                  <c:v>22:00-23:00</c:v>
                </c:pt>
                <c:pt idx="23">
                  <c:v>23:00-24:00</c:v>
                </c:pt>
              </c:strCache>
            </c:strRef>
          </c:xVal>
          <c:yVal>
            <c:numRef>
              <c:f>'Hourly Queue Analysis'!$Y$35:$Y$58</c:f>
              <c:numCache>
                <c:formatCode>0.0</c:formatCode>
                <c:ptCount val="24"/>
                <c:pt idx="0">
                  <c:v>0</c:v>
                </c:pt>
                <c:pt idx="1">
                  <c:v>0</c:v>
                </c:pt>
                <c:pt idx="2">
                  <c:v>0</c:v>
                </c:pt>
                <c:pt idx="3">
                  <c:v>0</c:v>
                </c:pt>
                <c:pt idx="4">
                  <c:v>0</c:v>
                </c:pt>
                <c:pt idx="5">
                  <c:v>0</c:v>
                </c:pt>
                <c:pt idx="6">
                  <c:v>0</c:v>
                </c:pt>
                <c:pt idx="7">
                  <c:v>2.0468118686868686</c:v>
                </c:pt>
                <c:pt idx="8">
                  <c:v>3.1579229797979784</c:v>
                </c:pt>
                <c:pt idx="9">
                  <c:v>3.3630997474747457</c:v>
                </c:pt>
                <c:pt idx="10">
                  <c:v>2.3957386363636357</c:v>
                </c:pt>
                <c:pt idx="11">
                  <c:v>1.3067234848484839</c:v>
                </c:pt>
                <c:pt idx="12">
                  <c:v>0.21770833333333242</c:v>
                </c:pt>
                <c:pt idx="13">
                  <c:v>0</c:v>
                </c:pt>
                <c:pt idx="14">
                  <c:v>0</c:v>
                </c:pt>
                <c:pt idx="15">
                  <c:v>0</c:v>
                </c:pt>
                <c:pt idx="16">
                  <c:v>0</c:v>
                </c:pt>
                <c:pt idx="17">
                  <c:v>0</c:v>
                </c:pt>
                <c:pt idx="18">
                  <c:v>0</c:v>
                </c:pt>
                <c:pt idx="19">
                  <c:v>0</c:v>
                </c:pt>
                <c:pt idx="20">
                  <c:v>0</c:v>
                </c:pt>
                <c:pt idx="21">
                  <c:v>0</c:v>
                </c:pt>
                <c:pt idx="22">
                  <c:v>0</c:v>
                </c:pt>
                <c:pt idx="23">
                  <c:v>0</c:v>
                </c:pt>
              </c:numCache>
            </c:numRef>
          </c:yVal>
          <c:smooth val="0"/>
          <c:extLst>
            <c:ext xmlns:c16="http://schemas.microsoft.com/office/drawing/2014/chart" uri="{C3380CC4-5D6E-409C-BE32-E72D297353CC}">
              <c16:uniqueId val="{00000002-DF9A-438D-BE43-BEB768DADA0E}"/>
            </c:ext>
          </c:extLst>
        </c:ser>
        <c:ser>
          <c:idx val="0"/>
          <c:order val="3"/>
          <c:tx>
            <c:strRef>
              <c:f>'Hourly Queue Analysis'!$AA$31</c:f>
              <c:strCache>
                <c:ptCount val="1"/>
                <c:pt idx="0">
                  <c:v>Lane(s) closed, with diversion</c:v>
                </c:pt>
              </c:strCache>
            </c:strRef>
          </c:tx>
          <c:marker>
            <c:symbol val="circle"/>
            <c:size val="7"/>
            <c:spPr>
              <a:solidFill>
                <a:schemeClr val="accent1"/>
              </a:solidFill>
              <a:ln w="25400"/>
            </c:spPr>
          </c:marker>
          <c:xVal>
            <c:strRef>
              <c:f>'Hourly Queue Analysis'!$A$35:$A$58</c:f>
              <c:strCache>
                <c:ptCount val="24"/>
                <c:pt idx="0">
                  <c:v>0:00-1:00</c:v>
                </c:pt>
                <c:pt idx="1">
                  <c:v>1:00-2:00</c:v>
                </c:pt>
                <c:pt idx="2">
                  <c:v>2:00-3:00</c:v>
                </c:pt>
                <c:pt idx="3">
                  <c:v>3:00-4:00</c:v>
                </c:pt>
                <c:pt idx="4">
                  <c:v>4:00-5:00</c:v>
                </c:pt>
                <c:pt idx="5">
                  <c:v>5:00-6:00</c:v>
                </c:pt>
                <c:pt idx="6">
                  <c:v>6:00-7:00</c:v>
                </c:pt>
                <c:pt idx="7">
                  <c:v>7:00-8:00</c:v>
                </c:pt>
                <c:pt idx="8">
                  <c:v>8:00-9:00</c:v>
                </c:pt>
                <c:pt idx="9">
                  <c:v>9:00-10:00</c:v>
                </c:pt>
                <c:pt idx="10">
                  <c:v>10:00-11:00</c:v>
                </c:pt>
                <c:pt idx="11">
                  <c:v>11:00-12:00</c:v>
                </c:pt>
                <c:pt idx="12">
                  <c:v>12:00-13:00</c:v>
                </c:pt>
                <c:pt idx="13">
                  <c:v>13:00-14:00</c:v>
                </c:pt>
                <c:pt idx="14">
                  <c:v>14:00-15:00</c:v>
                </c:pt>
                <c:pt idx="15">
                  <c:v>15:00-16:00</c:v>
                </c:pt>
                <c:pt idx="16">
                  <c:v>16:00-17:00</c:v>
                </c:pt>
                <c:pt idx="17">
                  <c:v>17:00-18:00</c:v>
                </c:pt>
                <c:pt idx="18">
                  <c:v>18:00-19:00</c:v>
                </c:pt>
                <c:pt idx="19">
                  <c:v>19:00-20:00</c:v>
                </c:pt>
                <c:pt idx="20">
                  <c:v>20:00-21:00</c:v>
                </c:pt>
                <c:pt idx="21">
                  <c:v>21:00-22:00</c:v>
                </c:pt>
                <c:pt idx="22">
                  <c:v>22:00-23:00</c:v>
                </c:pt>
                <c:pt idx="23">
                  <c:v>23:00-24:00</c:v>
                </c:pt>
              </c:strCache>
            </c:strRef>
          </c:xVal>
          <c:yVal>
            <c:numRef>
              <c:f>'Hourly Queue Analysis'!$AB$35:$AB$58</c:f>
              <c:numCache>
                <c:formatCode>0.0</c:formatCode>
                <c:ptCount val="24"/>
                <c:pt idx="0">
                  <c:v>0</c:v>
                </c:pt>
                <c:pt idx="1">
                  <c:v>0</c:v>
                </c:pt>
                <c:pt idx="2">
                  <c:v>0</c:v>
                </c:pt>
                <c:pt idx="3">
                  <c:v>0</c:v>
                </c:pt>
                <c:pt idx="4">
                  <c:v>0</c:v>
                </c:pt>
                <c:pt idx="5">
                  <c:v>0</c:v>
                </c:pt>
                <c:pt idx="6">
                  <c:v>0</c:v>
                </c:pt>
                <c:pt idx="7">
                  <c:v>2.0468118686868686</c:v>
                </c:pt>
                <c:pt idx="8">
                  <c:v>3.1579229797979784</c:v>
                </c:pt>
                <c:pt idx="9">
                  <c:v>3.3630997474747457</c:v>
                </c:pt>
                <c:pt idx="10">
                  <c:v>2.3957386363636357</c:v>
                </c:pt>
                <c:pt idx="11">
                  <c:v>1.3067234848484839</c:v>
                </c:pt>
                <c:pt idx="12">
                  <c:v>0.21770833333333242</c:v>
                </c:pt>
                <c:pt idx="13">
                  <c:v>0</c:v>
                </c:pt>
                <c:pt idx="14">
                  <c:v>0</c:v>
                </c:pt>
                <c:pt idx="15">
                  <c:v>0</c:v>
                </c:pt>
                <c:pt idx="16">
                  <c:v>0</c:v>
                </c:pt>
                <c:pt idx="17">
                  <c:v>0</c:v>
                </c:pt>
                <c:pt idx="18">
                  <c:v>0</c:v>
                </c:pt>
                <c:pt idx="19">
                  <c:v>0</c:v>
                </c:pt>
                <c:pt idx="20">
                  <c:v>0</c:v>
                </c:pt>
                <c:pt idx="21">
                  <c:v>0</c:v>
                </c:pt>
                <c:pt idx="22">
                  <c:v>0</c:v>
                </c:pt>
                <c:pt idx="23">
                  <c:v>0</c:v>
                </c:pt>
              </c:numCache>
            </c:numRef>
          </c:yVal>
          <c:smooth val="0"/>
          <c:extLst>
            <c:ext xmlns:c16="http://schemas.microsoft.com/office/drawing/2014/chart" uri="{C3380CC4-5D6E-409C-BE32-E72D297353CC}">
              <c16:uniqueId val="{00000003-DF9A-438D-BE43-BEB768DADA0E}"/>
            </c:ext>
          </c:extLst>
        </c:ser>
        <c:dLbls>
          <c:showLegendKey val="0"/>
          <c:showVal val="0"/>
          <c:showCatName val="0"/>
          <c:showSerName val="0"/>
          <c:showPercent val="0"/>
          <c:showBubbleSize val="0"/>
        </c:dLbls>
        <c:axId val="170200448"/>
        <c:axId val="170499072"/>
      </c:scatterChart>
      <c:valAx>
        <c:axId val="170200448"/>
        <c:scaling>
          <c:orientation val="minMax"/>
          <c:max val="24"/>
          <c:min val="0"/>
        </c:scaling>
        <c:delete val="0"/>
        <c:axPos val="b"/>
        <c:title>
          <c:tx>
            <c:rich>
              <a:bodyPr/>
              <a:lstStyle/>
              <a:p>
                <a:pPr>
                  <a:defRPr/>
                </a:pPr>
                <a:r>
                  <a:rPr lang="en-US"/>
                  <a:t>End of time interval, h</a:t>
                </a:r>
              </a:p>
            </c:rich>
          </c:tx>
          <c:overlay val="0"/>
        </c:title>
        <c:majorTickMark val="none"/>
        <c:minorTickMark val="none"/>
        <c:tickLblPos val="nextTo"/>
        <c:crossAx val="170499072"/>
        <c:crosses val="autoZero"/>
        <c:crossBetween val="midCat"/>
        <c:majorUnit val="1"/>
      </c:valAx>
      <c:valAx>
        <c:axId val="170499072"/>
        <c:scaling>
          <c:orientation val="minMax"/>
        </c:scaling>
        <c:delete val="0"/>
        <c:axPos val="l"/>
        <c:majorGridlines/>
        <c:title>
          <c:tx>
            <c:rich>
              <a:bodyPr/>
              <a:lstStyle/>
              <a:p>
                <a:pPr>
                  <a:defRPr/>
                </a:pPr>
                <a:r>
                  <a:rPr lang="en-US"/>
                  <a:t>Length of queue at the end of time interval, miles</a:t>
                </a:r>
              </a:p>
            </c:rich>
          </c:tx>
          <c:overlay val="0"/>
        </c:title>
        <c:numFmt formatCode="0.0" sourceLinked="1"/>
        <c:majorTickMark val="none"/>
        <c:minorTickMark val="none"/>
        <c:tickLblPos val="nextTo"/>
        <c:crossAx val="170200448"/>
        <c:crosses val="autoZero"/>
        <c:crossBetween val="midCat"/>
      </c:valAx>
      <c:spPr>
        <a:solidFill>
          <a:schemeClr val="bg1">
            <a:lumMod val="85000"/>
          </a:schemeClr>
        </a:solidFill>
      </c:spPr>
    </c:plotArea>
    <c:legend>
      <c:legendPos val="b"/>
      <c:overlay val="0"/>
    </c:legend>
    <c:plotVisOnly val="1"/>
    <c:dispBlanksAs val="gap"/>
    <c:showDLblsOverMax val="0"/>
  </c:chart>
  <c:spPr>
    <a:solidFill>
      <a:schemeClr val="bg1">
        <a:lumMod val="85000"/>
      </a:schemeClr>
    </a:solidFill>
    <a:ln>
      <a:noFill/>
    </a:ln>
  </c:spPr>
  <c:txPr>
    <a:bodyPr/>
    <a:lstStyle/>
    <a:p>
      <a:pPr>
        <a:defRPr sz="1100"/>
      </a:pPr>
      <a:endParaRPr lang="en-US"/>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177800</xdr:colOff>
      <xdr:row>1</xdr:row>
      <xdr:rowOff>0</xdr:rowOff>
    </xdr:from>
    <xdr:to>
      <xdr:col>28</xdr:col>
      <xdr:colOff>622300</xdr:colOff>
      <xdr:row>26</xdr:row>
      <xdr:rowOff>177800</xdr:rowOff>
    </xdr:to>
    <xdr:graphicFrame macro="">
      <xdr:nvGraphicFramePr>
        <xdr:cNvPr id="2" name="Chart 1">
          <a:extLst>
            <a:ext uri="{FF2B5EF4-FFF2-40B4-BE49-F238E27FC236}">
              <a16:creationId xmlns:a16="http://schemas.microsoft.com/office/drawing/2014/main" id="{41D69ED0-33C0-4A90-B465-E3FB1B194E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266700</xdr:colOff>
      <xdr:row>15</xdr:row>
      <xdr:rowOff>127000</xdr:rowOff>
    </xdr:from>
    <xdr:ext cx="2743200" cy="289182"/>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93780EC2-C9EC-4987-B8E3-BBE0CB1C1C13}"/>
                </a:ext>
              </a:extLst>
            </xdr:cNvPr>
            <xdr:cNvSpPr txBox="1"/>
          </xdr:nvSpPr>
          <xdr:spPr>
            <a:xfrm>
              <a:off x="6581775" y="2990850"/>
              <a:ext cx="2743200" cy="28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a:rPr>
                          <m:t>𝑐</m:t>
                        </m:r>
                      </m:e>
                      <m:sub>
                        <m:sSub>
                          <m:sSubPr>
                            <m:ctrlPr>
                              <a:rPr lang="en-US" sz="1100" b="0" i="1">
                                <a:latin typeface="Cambria Math" panose="02040503050406030204" pitchFamily="18" charset="0"/>
                              </a:rPr>
                            </m:ctrlPr>
                          </m:sSubPr>
                          <m:e>
                            <m:r>
                              <a:rPr lang="en-US" sz="1100" b="0" i="1">
                                <a:latin typeface="Cambria Math"/>
                              </a:rPr>
                              <m:t>𝑁</m:t>
                            </m:r>
                          </m:e>
                          <m:sub>
                            <m:r>
                              <a:rPr lang="en-US" sz="1100" b="0" i="1">
                                <a:latin typeface="Cambria Math"/>
                              </a:rPr>
                              <m:t>𝑐𝑙𝑜𝑠𝑒𝑑</m:t>
                            </m:r>
                          </m:sub>
                        </m:sSub>
                      </m:sub>
                    </m:sSub>
                    <m:r>
                      <a:rPr lang="en-US" sz="1100" b="0" i="1">
                        <a:latin typeface="Cambria Math"/>
                      </a:rPr>
                      <m:t>=</m:t>
                    </m:r>
                    <m:d>
                      <m:dPr>
                        <m:begChr m:val="{"/>
                        <m:endChr m:val="}"/>
                        <m:ctrlPr>
                          <a:rPr lang="en-US" sz="1100" b="0" i="1">
                            <a:latin typeface="Cambria Math" panose="02040503050406030204" pitchFamily="18" charset="0"/>
                          </a:rPr>
                        </m:ctrlPr>
                      </m:dPr>
                      <m:e>
                        <m:d>
                          <m:dPr>
                            <m:ctrlPr>
                              <a:rPr lang="en-US" sz="1100" b="0" i="1">
                                <a:latin typeface="Cambria Math" panose="02040503050406030204" pitchFamily="18" charset="0"/>
                              </a:rPr>
                            </m:ctrlPr>
                          </m:dPr>
                          <m:e>
                            <m:r>
                              <a:rPr lang="en-US" sz="1100" b="0" i="1">
                                <a:latin typeface="Cambria Math"/>
                              </a:rPr>
                              <m:t>1600+</m:t>
                            </m:r>
                            <m:r>
                              <a:rPr lang="en-US" sz="1100" b="0" i="1">
                                <a:latin typeface="Cambria Math"/>
                              </a:rPr>
                              <m:t>𝐼</m:t>
                            </m:r>
                            <m:r>
                              <a:rPr lang="en-US" sz="1100" b="0" i="1">
                                <a:latin typeface="Cambria Math"/>
                              </a:rPr>
                              <m:t>+</m:t>
                            </m:r>
                            <m:r>
                              <a:rPr lang="en-US" sz="1100" b="0" i="1">
                                <a:latin typeface="Cambria Math"/>
                              </a:rPr>
                              <m:t>𝑈</m:t>
                            </m:r>
                          </m:e>
                        </m:d>
                        <m:r>
                          <a:rPr lang="en-US" sz="1100" b="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𝑁</m:t>
                            </m:r>
                          </m:e>
                          <m:sub>
                            <m:r>
                              <a:rPr lang="en-US" sz="1100" b="0" i="1">
                                <a:latin typeface="Cambria Math"/>
                                <a:ea typeface="Cambria Math"/>
                              </a:rPr>
                              <m:t>𝑜𝑝𝑒𝑛</m:t>
                            </m:r>
                          </m:sub>
                        </m:sSub>
                      </m:e>
                    </m:d>
                    <m:r>
                      <a:rPr lang="en-US" sz="1100" b="0" i="1">
                        <a:latin typeface="Cambria Math"/>
                      </a:rPr>
                      <m:t>−</m:t>
                    </m:r>
                    <m:r>
                      <a:rPr lang="en-US" sz="1100" b="0" i="1">
                        <a:latin typeface="Cambria Math"/>
                      </a:rPr>
                      <m:t>𝑅</m:t>
                    </m:r>
                  </m:oMath>
                </m:oMathPara>
              </a14:m>
              <a:endParaRPr lang="en-US" sz="1100"/>
            </a:p>
          </xdr:txBody>
        </xdr:sp>
      </mc:Choice>
      <mc:Fallback xmlns="">
        <xdr:sp macro="" textlink="">
          <xdr:nvSpPr>
            <xdr:cNvPr id="3" name="TextBox 2">
              <a:extLst>
                <a:ext uri="{FF2B5EF4-FFF2-40B4-BE49-F238E27FC236}">
                  <a16:creationId xmlns:a16="http://schemas.microsoft.com/office/drawing/2014/main" id="{93780EC2-C9EC-4987-B8E3-BBE0CB1C1C13}"/>
                </a:ext>
              </a:extLst>
            </xdr:cNvPr>
            <xdr:cNvSpPr txBox="1"/>
          </xdr:nvSpPr>
          <xdr:spPr>
            <a:xfrm>
              <a:off x="6581775" y="2990850"/>
              <a:ext cx="2743200" cy="28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𝑐</a:t>
              </a:r>
              <a:r>
                <a:rPr lang="en-US" sz="1100" b="0" i="0">
                  <a:latin typeface="Cambria Math" panose="02040503050406030204" pitchFamily="18" charset="0"/>
                </a:rPr>
                <a:t>_(</a:t>
              </a:r>
              <a:r>
                <a:rPr lang="en-US" sz="1100" b="0" i="0">
                  <a:latin typeface="Cambria Math"/>
                </a:rPr>
                <a:t>𝑁</a:t>
              </a:r>
              <a:r>
                <a:rPr lang="en-US" sz="1100" b="0" i="0">
                  <a:latin typeface="Cambria Math" panose="02040503050406030204" pitchFamily="18" charset="0"/>
                </a:rPr>
                <a:t>_</a:t>
              </a:r>
              <a:r>
                <a:rPr lang="en-US" sz="1100" b="0" i="0">
                  <a:latin typeface="Cambria Math"/>
                </a:rPr>
                <a:t>𝑐𝑙𝑜𝑠𝑒𝑑</a:t>
              </a:r>
              <a:r>
                <a:rPr lang="en-US" sz="1100" b="0" i="0">
                  <a:latin typeface="Cambria Math" panose="02040503050406030204" pitchFamily="18" charset="0"/>
                </a:rPr>
                <a:t> )</a:t>
              </a:r>
              <a:r>
                <a:rPr lang="en-US" sz="1100" b="0" i="0">
                  <a:latin typeface="Cambria Math"/>
                </a:rPr>
                <a:t>=</a:t>
              </a:r>
              <a:r>
                <a:rPr lang="en-US" sz="1100" b="0" i="0">
                  <a:latin typeface="Cambria Math" panose="02040503050406030204" pitchFamily="18" charset="0"/>
                </a:rPr>
                <a:t>{(</a:t>
              </a:r>
              <a:r>
                <a:rPr lang="en-US" sz="1100" b="0" i="0">
                  <a:latin typeface="Cambria Math"/>
                </a:rPr>
                <a:t>1600+𝐼+𝑈</a:t>
              </a:r>
              <a:r>
                <a:rPr lang="en-US" sz="1100" b="0" i="0">
                  <a:latin typeface="Cambria Math" panose="02040503050406030204" pitchFamily="18" charset="0"/>
                </a:rPr>
                <a:t>)</a:t>
              </a:r>
              <a:r>
                <a:rPr lang="en-US" sz="1100" b="0" i="0">
                  <a:latin typeface="Cambria Math"/>
                  <a:ea typeface="Cambria Math"/>
                </a:rPr>
                <a:t>×𝑁</a:t>
              </a:r>
              <a:r>
                <a:rPr lang="en-US" sz="1100" b="0" i="0">
                  <a:latin typeface="Cambria Math" panose="02040503050406030204" pitchFamily="18" charset="0"/>
                  <a:ea typeface="Cambria Math"/>
                </a:rPr>
                <a:t>_</a:t>
              </a:r>
              <a:r>
                <a:rPr lang="en-US" sz="1100" b="0" i="0">
                  <a:latin typeface="Cambria Math"/>
                  <a:ea typeface="Cambria Math"/>
                </a:rPr>
                <a:t>𝑜𝑝𝑒𝑛</a:t>
              </a:r>
              <a:r>
                <a:rPr lang="en-US" sz="1100" b="0" i="0">
                  <a:latin typeface="Cambria Math" panose="02040503050406030204" pitchFamily="18" charset="0"/>
                  <a:ea typeface="Cambria Math"/>
                </a:rPr>
                <a:t> }</a:t>
              </a:r>
              <a:r>
                <a:rPr lang="en-US" sz="1100" b="0" i="0">
                  <a:latin typeface="Cambria Math"/>
                </a:rPr>
                <a:t>−𝑅</a:t>
              </a:r>
              <a:endParaRPr lang="en-US"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177800</xdr:colOff>
      <xdr:row>1</xdr:row>
      <xdr:rowOff>0</xdr:rowOff>
    </xdr:from>
    <xdr:to>
      <xdr:col>28</xdr:col>
      <xdr:colOff>622300</xdr:colOff>
      <xdr:row>26</xdr:row>
      <xdr:rowOff>177800</xdr:rowOff>
    </xdr:to>
    <xdr:graphicFrame macro="">
      <xdr:nvGraphicFramePr>
        <xdr:cNvPr id="2" name="Chart 1">
          <a:extLst>
            <a:ext uri="{FF2B5EF4-FFF2-40B4-BE49-F238E27FC236}">
              <a16:creationId xmlns:a16="http://schemas.microsoft.com/office/drawing/2014/main" id="{3B449D8F-CDF1-48B3-851F-B83A7F46A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266700</xdr:colOff>
      <xdr:row>15</xdr:row>
      <xdr:rowOff>127000</xdr:rowOff>
    </xdr:from>
    <xdr:ext cx="2743200" cy="289182"/>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C16194EA-319E-4D9D-8888-846C48A2D107}"/>
                </a:ext>
              </a:extLst>
            </xdr:cNvPr>
            <xdr:cNvSpPr txBox="1"/>
          </xdr:nvSpPr>
          <xdr:spPr>
            <a:xfrm>
              <a:off x="6578600" y="2990850"/>
              <a:ext cx="2743200" cy="28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a:rPr>
                          <m:t>𝑐</m:t>
                        </m:r>
                      </m:e>
                      <m:sub>
                        <m:sSub>
                          <m:sSubPr>
                            <m:ctrlPr>
                              <a:rPr lang="en-US" sz="1100" b="0" i="1">
                                <a:latin typeface="Cambria Math" panose="02040503050406030204" pitchFamily="18" charset="0"/>
                              </a:rPr>
                            </m:ctrlPr>
                          </m:sSubPr>
                          <m:e>
                            <m:r>
                              <a:rPr lang="en-US" sz="1100" b="0" i="1">
                                <a:latin typeface="Cambria Math"/>
                              </a:rPr>
                              <m:t>𝑁</m:t>
                            </m:r>
                          </m:e>
                          <m:sub>
                            <m:r>
                              <a:rPr lang="en-US" sz="1100" b="0" i="1">
                                <a:latin typeface="Cambria Math"/>
                              </a:rPr>
                              <m:t>𝑐𝑙𝑜𝑠𝑒𝑑</m:t>
                            </m:r>
                          </m:sub>
                        </m:sSub>
                      </m:sub>
                    </m:sSub>
                    <m:r>
                      <a:rPr lang="en-US" sz="1100" b="0" i="1">
                        <a:latin typeface="Cambria Math"/>
                      </a:rPr>
                      <m:t>=</m:t>
                    </m:r>
                    <m:d>
                      <m:dPr>
                        <m:begChr m:val="{"/>
                        <m:endChr m:val="}"/>
                        <m:ctrlPr>
                          <a:rPr lang="en-US" sz="1100" b="0" i="1">
                            <a:latin typeface="Cambria Math" panose="02040503050406030204" pitchFamily="18" charset="0"/>
                          </a:rPr>
                        </m:ctrlPr>
                      </m:dPr>
                      <m:e>
                        <m:d>
                          <m:dPr>
                            <m:ctrlPr>
                              <a:rPr lang="en-US" sz="1100" b="0" i="1">
                                <a:latin typeface="Cambria Math" panose="02040503050406030204" pitchFamily="18" charset="0"/>
                              </a:rPr>
                            </m:ctrlPr>
                          </m:dPr>
                          <m:e>
                            <m:r>
                              <a:rPr lang="en-US" sz="1100" b="0" i="1">
                                <a:latin typeface="Cambria Math"/>
                              </a:rPr>
                              <m:t>1600+</m:t>
                            </m:r>
                            <m:r>
                              <a:rPr lang="en-US" sz="1100" b="0" i="1">
                                <a:latin typeface="Cambria Math"/>
                              </a:rPr>
                              <m:t>𝐼</m:t>
                            </m:r>
                            <m:r>
                              <a:rPr lang="en-US" sz="1100" b="0" i="1">
                                <a:latin typeface="Cambria Math"/>
                              </a:rPr>
                              <m:t>+</m:t>
                            </m:r>
                            <m:r>
                              <a:rPr lang="en-US" sz="1100" b="0" i="1">
                                <a:latin typeface="Cambria Math"/>
                              </a:rPr>
                              <m:t>𝑈</m:t>
                            </m:r>
                          </m:e>
                        </m:d>
                        <m:r>
                          <a:rPr lang="en-US" sz="1100" b="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𝑁</m:t>
                            </m:r>
                          </m:e>
                          <m:sub>
                            <m:r>
                              <a:rPr lang="en-US" sz="1100" b="0" i="1">
                                <a:latin typeface="Cambria Math"/>
                                <a:ea typeface="Cambria Math"/>
                              </a:rPr>
                              <m:t>𝑜𝑝𝑒𝑛</m:t>
                            </m:r>
                          </m:sub>
                        </m:sSub>
                      </m:e>
                    </m:d>
                    <m:r>
                      <a:rPr lang="en-US" sz="1100" b="0" i="1">
                        <a:latin typeface="Cambria Math"/>
                      </a:rPr>
                      <m:t>−</m:t>
                    </m:r>
                    <m:r>
                      <a:rPr lang="en-US" sz="1100" b="0" i="1">
                        <a:latin typeface="Cambria Math"/>
                      </a:rPr>
                      <m:t>𝑅</m:t>
                    </m:r>
                  </m:oMath>
                </m:oMathPara>
              </a14:m>
              <a:endParaRPr lang="en-US" sz="1100"/>
            </a:p>
          </xdr:txBody>
        </xdr:sp>
      </mc:Choice>
      <mc:Fallback xmlns="">
        <xdr:sp macro="" textlink="">
          <xdr:nvSpPr>
            <xdr:cNvPr id="3" name="TextBox 2">
              <a:extLst>
                <a:ext uri="{FF2B5EF4-FFF2-40B4-BE49-F238E27FC236}">
                  <a16:creationId xmlns:a16="http://schemas.microsoft.com/office/drawing/2014/main" id="{C16194EA-319E-4D9D-8888-846C48A2D107}"/>
                </a:ext>
              </a:extLst>
            </xdr:cNvPr>
            <xdr:cNvSpPr txBox="1"/>
          </xdr:nvSpPr>
          <xdr:spPr>
            <a:xfrm>
              <a:off x="6578600" y="2990850"/>
              <a:ext cx="2743200" cy="28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𝑐</a:t>
              </a:r>
              <a:r>
                <a:rPr lang="en-US" sz="1100" b="0" i="0">
                  <a:latin typeface="Cambria Math" panose="02040503050406030204" pitchFamily="18" charset="0"/>
                </a:rPr>
                <a:t>_(</a:t>
              </a:r>
              <a:r>
                <a:rPr lang="en-US" sz="1100" b="0" i="0">
                  <a:latin typeface="Cambria Math"/>
                </a:rPr>
                <a:t>𝑁</a:t>
              </a:r>
              <a:r>
                <a:rPr lang="en-US" sz="1100" b="0" i="0">
                  <a:latin typeface="Cambria Math" panose="02040503050406030204" pitchFamily="18" charset="0"/>
                </a:rPr>
                <a:t>_</a:t>
              </a:r>
              <a:r>
                <a:rPr lang="en-US" sz="1100" b="0" i="0">
                  <a:latin typeface="Cambria Math"/>
                </a:rPr>
                <a:t>𝑐𝑙𝑜𝑠𝑒𝑑</a:t>
              </a:r>
              <a:r>
                <a:rPr lang="en-US" sz="1100" b="0" i="0">
                  <a:latin typeface="Cambria Math" panose="02040503050406030204" pitchFamily="18" charset="0"/>
                </a:rPr>
                <a:t> )</a:t>
              </a:r>
              <a:r>
                <a:rPr lang="en-US" sz="1100" b="0" i="0">
                  <a:latin typeface="Cambria Math"/>
                </a:rPr>
                <a:t>=</a:t>
              </a:r>
              <a:r>
                <a:rPr lang="en-US" sz="1100" b="0" i="0">
                  <a:latin typeface="Cambria Math" panose="02040503050406030204" pitchFamily="18" charset="0"/>
                </a:rPr>
                <a:t>{(</a:t>
              </a:r>
              <a:r>
                <a:rPr lang="en-US" sz="1100" b="0" i="0">
                  <a:latin typeface="Cambria Math"/>
                </a:rPr>
                <a:t>1600+𝐼+𝑈</a:t>
              </a:r>
              <a:r>
                <a:rPr lang="en-US" sz="1100" b="0" i="0">
                  <a:latin typeface="Cambria Math" panose="02040503050406030204" pitchFamily="18" charset="0"/>
                </a:rPr>
                <a:t>)</a:t>
              </a:r>
              <a:r>
                <a:rPr lang="en-US" sz="1100" b="0" i="0">
                  <a:latin typeface="Cambria Math"/>
                  <a:ea typeface="Cambria Math"/>
                </a:rPr>
                <a:t>×𝑁</a:t>
              </a:r>
              <a:r>
                <a:rPr lang="en-US" sz="1100" b="0" i="0">
                  <a:latin typeface="Cambria Math" panose="02040503050406030204" pitchFamily="18" charset="0"/>
                  <a:ea typeface="Cambria Math"/>
                </a:rPr>
                <a:t>_</a:t>
              </a:r>
              <a:r>
                <a:rPr lang="en-US" sz="1100" b="0" i="0">
                  <a:latin typeface="Cambria Math"/>
                  <a:ea typeface="Cambria Math"/>
                </a:rPr>
                <a:t>𝑜𝑝𝑒𝑛</a:t>
              </a:r>
              <a:r>
                <a:rPr lang="en-US" sz="1100" b="0" i="0">
                  <a:latin typeface="Cambria Math" panose="02040503050406030204" pitchFamily="18" charset="0"/>
                  <a:ea typeface="Cambria Math"/>
                </a:rPr>
                <a:t> }</a:t>
              </a:r>
              <a:r>
                <a:rPr lang="en-US" sz="1100" b="0" i="0">
                  <a:latin typeface="Cambria Math"/>
                </a:rPr>
                <a:t>−𝑅</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7B186-8F5C-48DF-9EBC-B3542CF53175}">
  <sheetPr>
    <pageSetUpPr fitToPage="1"/>
  </sheetPr>
  <dimension ref="A1:AR63"/>
  <sheetViews>
    <sheetView showGridLines="0" showRuler="0" topLeftCell="A26" zoomScale="60" zoomScaleNormal="55" zoomScalePageLayoutView="55" workbookViewId="0">
      <selection activeCell="O3" sqref="O3"/>
    </sheetView>
  </sheetViews>
  <sheetFormatPr defaultColWidth="9.1796875" defaultRowHeight="14.5" x14ac:dyDescent="0.35"/>
  <cols>
    <col min="1" max="1" width="14" style="2" bestFit="1" customWidth="1"/>
    <col min="2" max="2" width="10.453125" style="2" bestFit="1" customWidth="1"/>
    <col min="3" max="3" width="7.1796875" style="2" customWidth="1"/>
    <col min="4" max="5" width="5.1796875" style="2" customWidth="1"/>
    <col min="6" max="6" width="8.81640625" style="2" bestFit="1" customWidth="1"/>
    <col min="7" max="8" width="6.453125" style="2" customWidth="1"/>
    <col min="9" max="9" width="7.81640625" style="2" bestFit="1" customWidth="1"/>
    <col min="10" max="10" width="8.81640625" style="2" customWidth="1"/>
    <col min="11" max="11" width="10" style="2" bestFit="1" customWidth="1"/>
    <col min="12" max="12" width="10.54296875" style="2" customWidth="1"/>
    <col min="13" max="14" width="8.54296875" style="2" bestFit="1" customWidth="1"/>
    <col min="15" max="17" width="9.1796875" style="2" bestFit="1" customWidth="1"/>
    <col min="18" max="19" width="9.81640625" style="2" customWidth="1"/>
    <col min="20" max="20" width="11" style="2" bestFit="1" customWidth="1"/>
    <col min="21" max="22" width="9.81640625" style="2" customWidth="1"/>
    <col min="23" max="23" width="11" style="2" bestFit="1" customWidth="1"/>
    <col min="24" max="25" width="9.81640625" style="2" customWidth="1"/>
    <col min="26" max="26" width="11" style="2" bestFit="1" customWidth="1"/>
    <col min="27" max="28" width="9.81640625" style="2" customWidth="1"/>
    <col min="29" max="29" width="11" style="2" bestFit="1" customWidth="1"/>
    <col min="30" max="30" width="9.81640625" style="2" customWidth="1"/>
    <col min="31" max="34" width="15.81640625" style="2" hidden="1" customWidth="1"/>
    <col min="35" max="40" width="7.81640625" style="3" customWidth="1"/>
    <col min="41" max="42" width="5.81640625" style="3" customWidth="1"/>
    <col min="43" max="43" width="5.81640625" style="2" customWidth="1"/>
    <col min="44" max="16384" width="9.1796875" style="2"/>
  </cols>
  <sheetData>
    <row r="1" spans="1:44" ht="15.5" x14ac:dyDescent="0.35">
      <c r="A1" s="208" t="s">
        <v>138</v>
      </c>
      <c r="B1" s="209"/>
      <c r="C1" s="209"/>
      <c r="D1" s="209"/>
      <c r="E1" s="209"/>
      <c r="F1" s="209"/>
      <c r="G1" s="210"/>
      <c r="H1" s="100"/>
      <c r="I1" s="208" t="s">
        <v>139</v>
      </c>
      <c r="J1" s="209"/>
      <c r="K1" s="209"/>
      <c r="L1" s="209"/>
      <c r="M1" s="209"/>
      <c r="N1" s="209"/>
      <c r="O1" s="209"/>
      <c r="P1" s="210"/>
      <c r="Q1" s="1"/>
      <c r="R1" s="1"/>
      <c r="AG1" s="3"/>
      <c r="AH1" s="3"/>
      <c r="AM1" s="2"/>
      <c r="AN1" s="2"/>
      <c r="AO1" s="1"/>
      <c r="AP1" s="1"/>
      <c r="AQ1" s="1"/>
      <c r="AR1" s="1"/>
    </row>
    <row r="2" spans="1:44" ht="15" customHeight="1" x14ac:dyDescent="0.35">
      <c r="A2" s="139" t="s">
        <v>0</v>
      </c>
      <c r="B2" s="227" t="s">
        <v>176</v>
      </c>
      <c r="C2" s="227"/>
      <c r="D2" s="227"/>
      <c r="E2" s="227"/>
      <c r="F2" s="227"/>
      <c r="G2" s="228"/>
      <c r="H2" s="101"/>
      <c r="I2" s="188" t="s">
        <v>110</v>
      </c>
      <c r="J2" s="189"/>
      <c r="K2" s="189"/>
      <c r="L2" s="189"/>
      <c r="M2" s="189"/>
      <c r="N2" s="189"/>
      <c r="O2" s="41">
        <v>2</v>
      </c>
      <c r="P2" s="5" t="s">
        <v>10</v>
      </c>
      <c r="Q2" s="1"/>
      <c r="R2" s="1"/>
      <c r="AG2" s="3"/>
      <c r="AH2" s="3"/>
      <c r="AM2" s="2"/>
      <c r="AN2" s="2"/>
      <c r="AO2" s="1"/>
      <c r="AP2" s="1"/>
      <c r="AQ2" s="1"/>
      <c r="AR2" s="1"/>
    </row>
    <row r="3" spans="1:44" ht="15" customHeight="1" x14ac:dyDescent="0.35">
      <c r="A3" s="4" t="s">
        <v>64</v>
      </c>
      <c r="B3" s="223"/>
      <c r="C3" s="223"/>
      <c r="D3" s="223"/>
      <c r="E3" s="223"/>
      <c r="F3" s="223"/>
      <c r="G3" s="224"/>
      <c r="H3" s="101"/>
      <c r="I3" s="188" t="s">
        <v>102</v>
      </c>
      <c r="J3" s="189"/>
      <c r="K3" s="189"/>
      <c r="L3" s="189"/>
      <c r="M3" s="189"/>
      <c r="N3" s="189"/>
      <c r="O3" s="41" t="s">
        <v>93</v>
      </c>
      <c r="P3" s="5"/>
      <c r="Q3" s="1"/>
      <c r="R3" s="1"/>
      <c r="AG3" s="3"/>
      <c r="AH3" s="3"/>
      <c r="AM3" s="2"/>
      <c r="AN3" s="2"/>
      <c r="AO3" s="1"/>
      <c r="AP3" s="1"/>
      <c r="AQ3" s="1"/>
      <c r="AR3" s="1"/>
    </row>
    <row r="4" spans="1:44" ht="15" customHeight="1" x14ac:dyDescent="0.45">
      <c r="A4" s="221" t="s">
        <v>63</v>
      </c>
      <c r="B4" s="223" t="s">
        <v>175</v>
      </c>
      <c r="C4" s="223"/>
      <c r="D4" s="223"/>
      <c r="E4" s="223"/>
      <c r="F4" s="223"/>
      <c r="G4" s="224"/>
      <c r="H4" s="101"/>
      <c r="I4" s="188" t="s">
        <v>134</v>
      </c>
      <c r="J4" s="189"/>
      <c r="K4" s="189"/>
      <c r="L4" s="189"/>
      <c r="M4" s="189"/>
      <c r="N4" s="189"/>
      <c r="O4" s="6">
        <f>IF(O3="Level",1.5,IF(O3="Rolling",2.5,IF(O3="Mountainous",4.5,"ERR")))</f>
        <v>2.5</v>
      </c>
      <c r="P4" s="5"/>
      <c r="Q4" s="1"/>
      <c r="R4" s="1"/>
      <c r="AG4" s="3"/>
      <c r="AH4" s="3"/>
      <c r="AM4" s="2"/>
      <c r="AN4" s="2"/>
      <c r="AO4" s="1"/>
      <c r="AP4" s="1"/>
      <c r="AQ4" s="1"/>
      <c r="AR4" s="1"/>
    </row>
    <row r="5" spans="1:44" ht="15" customHeight="1" x14ac:dyDescent="0.35">
      <c r="A5" s="221"/>
      <c r="B5" s="223"/>
      <c r="C5" s="223"/>
      <c r="D5" s="223"/>
      <c r="E5" s="223"/>
      <c r="F5" s="223"/>
      <c r="G5" s="224"/>
      <c r="H5" s="101"/>
      <c r="I5" s="188" t="s">
        <v>53</v>
      </c>
      <c r="J5" s="189"/>
      <c r="K5" s="189"/>
      <c r="L5" s="189"/>
      <c r="M5" s="189"/>
      <c r="N5" s="189"/>
      <c r="O5" s="6">
        <v>75.400000000000006</v>
      </c>
      <c r="P5" s="5" t="s">
        <v>50</v>
      </c>
      <c r="Q5" s="1"/>
      <c r="R5" s="1"/>
      <c r="AG5" s="3"/>
      <c r="AH5" s="3"/>
      <c r="AM5" s="2"/>
      <c r="AN5" s="2"/>
      <c r="AO5" s="2"/>
      <c r="AP5" s="2"/>
      <c r="AQ5" s="1"/>
      <c r="AR5" s="1"/>
    </row>
    <row r="6" spans="1:44" ht="15" customHeight="1" x14ac:dyDescent="0.45">
      <c r="A6" s="4" t="s">
        <v>1</v>
      </c>
      <c r="B6" s="223"/>
      <c r="C6" s="223"/>
      <c r="D6" s="223"/>
      <c r="E6" s="223"/>
      <c r="F6" s="223"/>
      <c r="G6" s="224"/>
      <c r="H6" s="101"/>
      <c r="I6" s="188" t="s">
        <v>38</v>
      </c>
      <c r="J6" s="189"/>
      <c r="K6" s="189"/>
      <c r="L6" s="189"/>
      <c r="M6" s="189"/>
      <c r="N6" s="189"/>
      <c r="O6" s="6">
        <f>IF(O7&gt;=12,0,IF(O7&gt;=11,1.9,IF(O7&gt;=10,6.6,"ERR")))</f>
        <v>0</v>
      </c>
      <c r="P6" s="5" t="s">
        <v>50</v>
      </c>
      <c r="Q6" s="1"/>
      <c r="R6" s="1"/>
      <c r="AG6" s="3"/>
      <c r="AH6" s="3"/>
      <c r="AM6" s="2"/>
      <c r="AN6" s="2"/>
      <c r="AO6" s="2"/>
      <c r="AP6" s="2"/>
      <c r="AQ6" s="1"/>
      <c r="AR6" s="1"/>
    </row>
    <row r="7" spans="1:44" ht="15" customHeight="1" x14ac:dyDescent="0.35">
      <c r="A7" s="221" t="s">
        <v>66</v>
      </c>
      <c r="B7" s="223"/>
      <c r="C7" s="223"/>
      <c r="D7" s="223"/>
      <c r="E7" s="223"/>
      <c r="F7" s="223"/>
      <c r="G7" s="224"/>
      <c r="H7" s="101"/>
      <c r="I7" s="188" t="s">
        <v>135</v>
      </c>
      <c r="J7" s="189"/>
      <c r="K7" s="189"/>
      <c r="L7" s="189"/>
      <c r="M7" s="189"/>
      <c r="N7" s="189"/>
      <c r="O7" s="41">
        <v>12</v>
      </c>
      <c r="P7" s="5" t="s">
        <v>6</v>
      </c>
      <c r="Q7" s="1"/>
      <c r="R7" s="1"/>
      <c r="AG7" s="3"/>
      <c r="AH7" s="3"/>
      <c r="AM7" s="2"/>
      <c r="AN7" s="2"/>
      <c r="AO7" s="2"/>
      <c r="AP7" s="2"/>
    </row>
    <row r="8" spans="1:44" ht="15" customHeight="1" x14ac:dyDescent="0.45">
      <c r="A8" s="221"/>
      <c r="B8" s="223"/>
      <c r="C8" s="223"/>
      <c r="D8" s="223"/>
      <c r="E8" s="223"/>
      <c r="F8" s="223"/>
      <c r="G8" s="224"/>
      <c r="H8" s="101"/>
      <c r="I8" s="188" t="s">
        <v>52</v>
      </c>
      <c r="J8" s="189"/>
      <c r="K8" s="189"/>
      <c r="L8" s="189"/>
      <c r="M8" s="189"/>
      <c r="N8" s="189"/>
      <c r="O8" s="6">
        <f>IF(O9&gt;=6,0,IF(O2=2,3.6-0.6*O9,IF(O2=3,2.4-0.4*O9,IF(O2=4,1.2-0.2*O9,0.6-0.1*O9))))</f>
        <v>2.4000000000000004</v>
      </c>
      <c r="P8" s="5" t="s">
        <v>50</v>
      </c>
      <c r="Q8" s="1"/>
      <c r="R8" s="1"/>
      <c r="AG8" s="3"/>
      <c r="AH8" s="3"/>
      <c r="AM8" s="2"/>
      <c r="AN8" s="2"/>
      <c r="AO8" s="2"/>
      <c r="AP8" s="2"/>
    </row>
    <row r="9" spans="1:44" ht="15" customHeight="1" x14ac:dyDescent="0.35">
      <c r="A9" s="221"/>
      <c r="B9" s="223"/>
      <c r="C9" s="223"/>
      <c r="D9" s="223"/>
      <c r="E9" s="223"/>
      <c r="F9" s="223"/>
      <c r="G9" s="224"/>
      <c r="H9" s="101"/>
      <c r="I9" s="188" t="s">
        <v>136</v>
      </c>
      <c r="J9" s="189"/>
      <c r="K9" s="189"/>
      <c r="L9" s="189"/>
      <c r="M9" s="189"/>
      <c r="N9" s="189"/>
      <c r="O9" s="41">
        <v>2</v>
      </c>
      <c r="P9" s="5" t="s">
        <v>6</v>
      </c>
      <c r="Q9" s="1"/>
      <c r="R9" s="1"/>
      <c r="AG9" s="3"/>
      <c r="AH9" s="3"/>
      <c r="AM9" s="2"/>
      <c r="AN9" s="2"/>
      <c r="AO9" s="2"/>
      <c r="AP9" s="2"/>
    </row>
    <row r="10" spans="1:44" ht="15" customHeight="1" x14ac:dyDescent="0.35">
      <c r="A10" s="221"/>
      <c r="B10" s="223"/>
      <c r="C10" s="223"/>
      <c r="D10" s="223"/>
      <c r="E10" s="223"/>
      <c r="F10" s="223"/>
      <c r="G10" s="224"/>
      <c r="H10" s="101"/>
      <c r="I10" s="188" t="s">
        <v>131</v>
      </c>
      <c r="J10" s="189"/>
      <c r="K10" s="189"/>
      <c r="L10" s="189"/>
      <c r="M10" s="189"/>
      <c r="N10" s="189"/>
      <c r="O10" s="6">
        <f>3.22*(O11/6)^0.84</f>
        <v>1.7988322922962743</v>
      </c>
      <c r="P10" s="5" t="s">
        <v>50</v>
      </c>
      <c r="Q10" s="1"/>
      <c r="R10" s="1"/>
      <c r="AG10" s="3"/>
      <c r="AH10" s="3"/>
      <c r="AM10" s="2"/>
      <c r="AN10" s="2"/>
      <c r="AO10" s="2"/>
      <c r="AP10" s="2"/>
    </row>
    <row r="11" spans="1:44" ht="15" customHeight="1" thickBot="1" x14ac:dyDescent="0.4">
      <c r="A11" s="222"/>
      <c r="B11" s="225"/>
      <c r="C11" s="225"/>
      <c r="D11" s="225"/>
      <c r="E11" s="225"/>
      <c r="F11" s="225"/>
      <c r="G11" s="226"/>
      <c r="H11" s="101"/>
      <c r="I11" s="188" t="s">
        <v>137</v>
      </c>
      <c r="J11" s="189"/>
      <c r="K11" s="189"/>
      <c r="L11" s="189"/>
      <c r="M11" s="189"/>
      <c r="N11" s="189"/>
      <c r="O11" s="41">
        <v>3</v>
      </c>
      <c r="P11" s="5"/>
      <c r="Q11" s="1"/>
      <c r="R11" s="1"/>
      <c r="AG11" s="3"/>
      <c r="AH11" s="3"/>
      <c r="AM11" s="2"/>
      <c r="AN11" s="2"/>
      <c r="AO11" s="2"/>
      <c r="AP11" s="2"/>
    </row>
    <row r="12" spans="1:44" ht="15" customHeight="1" thickBot="1" x14ac:dyDescent="0.4">
      <c r="B12" s="3"/>
      <c r="C12" s="142"/>
      <c r="D12" s="142"/>
      <c r="E12" s="142"/>
      <c r="F12" s="142"/>
      <c r="G12" s="142"/>
      <c r="H12" s="142"/>
      <c r="I12" s="188" t="s">
        <v>54</v>
      </c>
      <c r="J12" s="189"/>
      <c r="K12" s="189"/>
      <c r="L12" s="189"/>
      <c r="M12" s="189"/>
      <c r="N12" s="189"/>
      <c r="O12" s="41"/>
      <c r="P12" s="5" t="s">
        <v>50</v>
      </c>
      <c r="R12" s="1"/>
      <c r="AG12" s="3"/>
      <c r="AH12" s="3"/>
      <c r="AM12" s="2"/>
      <c r="AN12" s="2"/>
      <c r="AO12" s="2"/>
      <c r="AP12" s="2"/>
    </row>
    <row r="13" spans="1:44" ht="15" customHeight="1" x14ac:dyDescent="0.35">
      <c r="A13" s="208" t="s">
        <v>140</v>
      </c>
      <c r="B13" s="209"/>
      <c r="C13" s="209"/>
      <c r="D13" s="209"/>
      <c r="E13" s="209"/>
      <c r="F13" s="209"/>
      <c r="G13" s="210"/>
      <c r="H13" s="7"/>
      <c r="I13" s="188" t="s">
        <v>79</v>
      </c>
      <c r="J13" s="189"/>
      <c r="K13" s="189"/>
      <c r="L13" s="189"/>
      <c r="M13" s="189"/>
      <c r="N13" s="189"/>
      <c r="O13" s="6">
        <f>+O5-O6-O8-O10-O12</f>
        <v>71.201167707703732</v>
      </c>
      <c r="P13" s="5" t="s">
        <v>50</v>
      </c>
      <c r="Q13" s="1"/>
      <c r="R13" s="1"/>
      <c r="AG13" s="3"/>
      <c r="AH13" s="3"/>
      <c r="AM13" s="2"/>
      <c r="AN13" s="2"/>
      <c r="AO13" s="2"/>
      <c r="AP13" s="2"/>
    </row>
    <row r="14" spans="1:44" ht="15" customHeight="1" thickBot="1" x14ac:dyDescent="0.4">
      <c r="A14" s="188" t="s">
        <v>98</v>
      </c>
      <c r="B14" s="189"/>
      <c r="C14" s="189"/>
      <c r="D14" s="189"/>
      <c r="E14" s="189"/>
      <c r="F14" s="219" t="s">
        <v>60</v>
      </c>
      <c r="G14" s="220"/>
      <c r="H14" s="133"/>
      <c r="I14" s="203" t="s">
        <v>152</v>
      </c>
      <c r="J14" s="204"/>
      <c r="K14" s="204"/>
      <c r="L14" s="204"/>
      <c r="M14" s="204"/>
      <c r="N14" s="204"/>
      <c r="O14" s="8">
        <f>IF($O$13&gt;=75,2400,IF($O$13&gt;=70,2400,IF($O$13&gt;=65,2350,IF($O$13&gt;=60,2300,2250))))</f>
        <v>2400</v>
      </c>
      <c r="P14" s="9" t="s">
        <v>124</v>
      </c>
      <c r="Q14" s="1"/>
      <c r="R14" s="1"/>
      <c r="AG14" s="3"/>
      <c r="AH14" s="3"/>
      <c r="AM14" s="2"/>
      <c r="AN14" s="2"/>
      <c r="AO14" s="2"/>
      <c r="AP14" s="2"/>
    </row>
    <row r="15" spans="1:44" ht="15" customHeight="1" thickBot="1" x14ac:dyDescent="0.4">
      <c r="A15" s="213" t="s">
        <v>99</v>
      </c>
      <c r="B15" s="214"/>
      <c r="C15" s="214"/>
      <c r="D15" s="214"/>
      <c r="E15" s="214"/>
      <c r="F15" s="214"/>
      <c r="G15" s="215"/>
      <c r="H15" s="143"/>
      <c r="I15" s="1"/>
      <c r="J15" s="1"/>
      <c r="K15" s="1"/>
      <c r="L15" s="1"/>
      <c r="M15" s="1"/>
      <c r="N15" s="1"/>
      <c r="O15" s="1"/>
      <c r="P15" s="1"/>
      <c r="Q15" s="140"/>
      <c r="R15" s="1"/>
      <c r="AG15" s="3"/>
      <c r="AH15" s="3"/>
      <c r="AM15" s="2"/>
      <c r="AN15" s="2"/>
      <c r="AO15" s="2"/>
      <c r="AP15" s="2"/>
    </row>
    <row r="16" spans="1:44" ht="15" customHeight="1" x14ac:dyDescent="0.35">
      <c r="A16" s="192" t="s">
        <v>122</v>
      </c>
      <c r="B16" s="193"/>
      <c r="C16" s="193"/>
      <c r="D16" s="193"/>
      <c r="E16" s="193"/>
      <c r="F16" s="193"/>
      <c r="G16" s="194"/>
      <c r="H16" s="142"/>
      <c r="I16" s="208" t="s">
        <v>141</v>
      </c>
      <c r="J16" s="209"/>
      <c r="K16" s="209"/>
      <c r="L16" s="209"/>
      <c r="M16" s="209"/>
      <c r="N16" s="209"/>
      <c r="O16" s="209"/>
      <c r="P16" s="210"/>
      <c r="Q16" s="10"/>
      <c r="R16" s="1"/>
      <c r="AG16" s="3"/>
      <c r="AH16" s="3"/>
      <c r="AM16" s="2"/>
      <c r="AN16" s="2"/>
      <c r="AO16" s="2"/>
      <c r="AP16" s="2"/>
    </row>
    <row r="17" spans="1:42" ht="15" customHeight="1" x14ac:dyDescent="0.35">
      <c r="A17" s="216" t="s">
        <v>100</v>
      </c>
      <c r="B17" s="217"/>
      <c r="C17" s="217"/>
      <c r="D17" s="217"/>
      <c r="E17" s="217"/>
      <c r="F17" s="217"/>
      <c r="G17" s="218"/>
      <c r="H17" s="144"/>
      <c r="I17" s="188" t="s">
        <v>132</v>
      </c>
      <c r="J17" s="189"/>
      <c r="K17" s="189"/>
      <c r="L17" s="189"/>
      <c r="M17" s="189"/>
      <c r="N17" s="189"/>
      <c r="O17" s="189"/>
      <c r="P17" s="198"/>
      <c r="Q17" s="1"/>
      <c r="R17" s="1"/>
      <c r="S17" s="11"/>
      <c r="T17" s="140"/>
      <c r="U17" s="140"/>
      <c r="AG17" s="3"/>
      <c r="AH17" s="3"/>
      <c r="AM17" s="2"/>
      <c r="AN17" s="2"/>
      <c r="AO17" s="2"/>
      <c r="AP17" s="2"/>
    </row>
    <row r="18" spans="1:42" ht="15" customHeight="1" x14ac:dyDescent="0.35">
      <c r="A18" s="192" t="s">
        <v>97</v>
      </c>
      <c r="B18" s="193"/>
      <c r="C18" s="193"/>
      <c r="D18" s="193"/>
      <c r="E18" s="193"/>
      <c r="F18" s="211">
        <v>50000</v>
      </c>
      <c r="G18" s="212"/>
      <c r="H18" s="133"/>
      <c r="I18" s="188" t="s">
        <v>111</v>
      </c>
      <c r="J18" s="189"/>
      <c r="K18" s="189"/>
      <c r="L18" s="189"/>
      <c r="M18" s="189"/>
      <c r="N18" s="189"/>
      <c r="O18" s="189"/>
      <c r="P18" s="198"/>
      <c r="Q18" s="1"/>
      <c r="R18" s="1"/>
      <c r="S18" s="11"/>
      <c r="T18" s="140"/>
      <c r="U18" s="140"/>
      <c r="AG18" s="3"/>
      <c r="AH18" s="3"/>
      <c r="AM18" s="2"/>
      <c r="AN18" s="2"/>
      <c r="AO18" s="2"/>
      <c r="AP18" s="2"/>
    </row>
    <row r="19" spans="1:42" ht="15" customHeight="1" x14ac:dyDescent="0.35">
      <c r="A19" s="192" t="s">
        <v>96</v>
      </c>
      <c r="B19" s="193"/>
      <c r="C19" s="193"/>
      <c r="D19" s="193"/>
      <c r="E19" s="193"/>
      <c r="F19" s="193"/>
      <c r="G19" s="194"/>
      <c r="H19" s="142"/>
      <c r="I19" s="188" t="s">
        <v>157</v>
      </c>
      <c r="J19" s="189"/>
      <c r="K19" s="189"/>
      <c r="L19" s="189"/>
      <c r="M19" s="189"/>
      <c r="N19" s="189"/>
      <c r="O19" s="120">
        <v>-400</v>
      </c>
      <c r="P19" s="13" t="s">
        <v>124</v>
      </c>
      <c r="Q19" s="140"/>
      <c r="R19" s="1"/>
      <c r="S19" s="11"/>
      <c r="T19" s="140"/>
      <c r="U19" s="140"/>
      <c r="AG19" s="3"/>
      <c r="AH19" s="3"/>
      <c r="AM19" s="2"/>
      <c r="AN19" s="2"/>
      <c r="AO19" s="2"/>
      <c r="AP19" s="2"/>
    </row>
    <row r="20" spans="1:42" ht="15" customHeight="1" x14ac:dyDescent="0.45">
      <c r="A20" s="188" t="s">
        <v>103</v>
      </c>
      <c r="B20" s="189"/>
      <c r="C20" s="189"/>
      <c r="D20" s="189"/>
      <c r="E20" s="211" t="s">
        <v>89</v>
      </c>
      <c r="F20" s="211"/>
      <c r="G20" s="212"/>
      <c r="H20" s="133"/>
      <c r="I20" s="188" t="s">
        <v>133</v>
      </c>
      <c r="J20" s="189"/>
      <c r="K20" s="189"/>
      <c r="L20" s="189"/>
      <c r="M20" s="189"/>
      <c r="N20" s="189"/>
      <c r="O20" s="189"/>
      <c r="P20" s="198"/>
      <c r="Q20" s="1"/>
      <c r="R20" s="1"/>
      <c r="S20" s="11"/>
      <c r="T20" s="140"/>
      <c r="U20" s="140"/>
      <c r="AG20" s="3"/>
      <c r="AH20" s="3"/>
      <c r="AM20" s="2"/>
      <c r="AN20" s="2"/>
      <c r="AO20" s="2"/>
      <c r="AP20" s="2"/>
    </row>
    <row r="21" spans="1:42" ht="15" customHeight="1" x14ac:dyDescent="0.45">
      <c r="A21" s="188" t="s">
        <v>104</v>
      </c>
      <c r="B21" s="189"/>
      <c r="C21" s="189"/>
      <c r="D21" s="189"/>
      <c r="E21" s="211" t="s">
        <v>68</v>
      </c>
      <c r="F21" s="211"/>
      <c r="G21" s="212"/>
      <c r="H21" s="133"/>
      <c r="I21" s="188" t="s">
        <v>109</v>
      </c>
      <c r="J21" s="189"/>
      <c r="K21" s="189"/>
      <c r="L21" s="189"/>
      <c r="M21" s="189"/>
      <c r="N21" s="189"/>
      <c r="O21" s="189"/>
      <c r="P21" s="198"/>
      <c r="R21" s="1"/>
      <c r="S21" s="11"/>
      <c r="T21" s="140"/>
      <c r="U21" s="140"/>
      <c r="AG21" s="3"/>
      <c r="AH21" s="3"/>
      <c r="AM21" s="2"/>
      <c r="AN21" s="2"/>
      <c r="AO21" s="2"/>
      <c r="AP21" s="2"/>
    </row>
    <row r="22" spans="1:42" ht="15" customHeight="1" thickBot="1" x14ac:dyDescent="0.4">
      <c r="A22" s="188" t="s">
        <v>95</v>
      </c>
      <c r="B22" s="189"/>
      <c r="C22" s="189"/>
      <c r="D22" s="189"/>
      <c r="E22" s="189"/>
      <c r="F22" s="189"/>
      <c r="G22" s="198"/>
      <c r="H22" s="140"/>
      <c r="I22" s="203" t="s">
        <v>113</v>
      </c>
      <c r="J22" s="204"/>
      <c r="K22" s="204"/>
      <c r="L22" s="204"/>
      <c r="M22" s="204"/>
      <c r="N22" s="204"/>
      <c r="O22" s="204"/>
      <c r="P22" s="205"/>
      <c r="Q22" s="1"/>
      <c r="R22" s="1"/>
      <c r="S22" s="11"/>
      <c r="T22" s="140"/>
      <c r="U22" s="140"/>
      <c r="AG22" s="3"/>
      <c r="AH22" s="3"/>
      <c r="AM22" s="2"/>
      <c r="AN22" s="2"/>
      <c r="AO22" s="2"/>
      <c r="AP22" s="2"/>
    </row>
    <row r="23" spans="1:42" ht="15" customHeight="1" thickBot="1" x14ac:dyDescent="0.5">
      <c r="A23" s="192" t="s">
        <v>101</v>
      </c>
      <c r="B23" s="193"/>
      <c r="C23" s="193"/>
      <c r="D23" s="193"/>
      <c r="E23" s="193"/>
      <c r="F23" s="206">
        <v>5</v>
      </c>
      <c r="G23" s="207"/>
      <c r="H23" s="102"/>
      <c r="I23" s="1"/>
      <c r="J23" s="1"/>
      <c r="K23" s="1"/>
      <c r="L23" s="1"/>
      <c r="M23" s="1"/>
      <c r="N23" s="1"/>
      <c r="O23" s="1"/>
      <c r="P23" s="1"/>
      <c r="Q23" s="12"/>
      <c r="R23" s="1"/>
      <c r="S23" s="11"/>
      <c r="T23" s="140"/>
      <c r="U23" s="140"/>
      <c r="AG23" s="3"/>
      <c r="AH23" s="3"/>
      <c r="AM23" s="2"/>
      <c r="AN23" s="2"/>
      <c r="AO23" s="2"/>
      <c r="AP23" s="2"/>
    </row>
    <row r="24" spans="1:42" ht="15" customHeight="1" x14ac:dyDescent="0.45">
      <c r="A24" s="188" t="s">
        <v>129</v>
      </c>
      <c r="B24" s="189"/>
      <c r="C24" s="189"/>
      <c r="D24" s="189"/>
      <c r="E24" s="189"/>
      <c r="F24" s="189"/>
      <c r="G24" s="198"/>
      <c r="H24" s="1"/>
      <c r="I24" s="208" t="s">
        <v>142</v>
      </c>
      <c r="J24" s="209"/>
      <c r="K24" s="209"/>
      <c r="L24" s="209"/>
      <c r="M24" s="209"/>
      <c r="N24" s="209"/>
      <c r="O24" s="209"/>
      <c r="P24" s="210"/>
      <c r="Q24" s="11"/>
      <c r="R24" s="1"/>
      <c r="S24" s="11"/>
      <c r="T24" s="140"/>
      <c r="U24" s="140"/>
      <c r="AG24" s="3"/>
      <c r="AH24" s="3"/>
      <c r="AM24" s="2"/>
      <c r="AN24" s="2"/>
      <c r="AO24" s="2"/>
      <c r="AP24" s="2"/>
    </row>
    <row r="25" spans="1:42" ht="15" customHeight="1" x14ac:dyDescent="0.35">
      <c r="A25" s="188" t="s">
        <v>126</v>
      </c>
      <c r="B25" s="189"/>
      <c r="C25" s="189"/>
      <c r="D25" s="189"/>
      <c r="E25" s="189"/>
      <c r="F25" s="190">
        <v>1000</v>
      </c>
      <c r="G25" s="191"/>
      <c r="H25" s="103"/>
      <c r="I25" s="188" t="s">
        <v>153</v>
      </c>
      <c r="J25" s="189"/>
      <c r="K25" s="189"/>
      <c r="L25" s="189"/>
      <c r="M25" s="189"/>
      <c r="N25" s="189"/>
      <c r="O25" s="6">
        <v>20</v>
      </c>
      <c r="P25" s="13" t="s">
        <v>6</v>
      </c>
      <c r="Q25" s="11"/>
      <c r="R25" s="1"/>
      <c r="S25" s="11"/>
      <c r="T25" s="140"/>
      <c r="U25" s="140"/>
      <c r="AG25" s="3"/>
      <c r="AH25" s="3"/>
      <c r="AM25" s="2"/>
      <c r="AN25" s="2"/>
      <c r="AO25" s="2"/>
      <c r="AP25" s="2"/>
    </row>
    <row r="26" spans="1:42" ht="15" customHeight="1" x14ac:dyDescent="0.35">
      <c r="A26" s="192" t="s">
        <v>130</v>
      </c>
      <c r="B26" s="193"/>
      <c r="C26" s="193"/>
      <c r="D26" s="193"/>
      <c r="E26" s="193"/>
      <c r="F26" s="193"/>
      <c r="G26" s="194"/>
      <c r="H26" s="142"/>
      <c r="I26" s="188" t="s">
        <v>156</v>
      </c>
      <c r="J26" s="189"/>
      <c r="K26" s="189"/>
      <c r="L26" s="189"/>
      <c r="M26" s="189"/>
      <c r="N26" s="189"/>
      <c r="O26" s="189"/>
      <c r="P26" s="198"/>
      <c r="Q26" s="1"/>
      <c r="R26" s="1"/>
      <c r="S26" s="11"/>
      <c r="T26" s="140"/>
      <c r="U26" s="140"/>
      <c r="AG26" s="3"/>
      <c r="AH26" s="3"/>
      <c r="AM26" s="2"/>
      <c r="AN26" s="2"/>
      <c r="AO26" s="2"/>
      <c r="AP26" s="2"/>
    </row>
    <row r="27" spans="1:42" ht="15" customHeight="1" thickBot="1" x14ac:dyDescent="0.4">
      <c r="A27" s="195"/>
      <c r="B27" s="196"/>
      <c r="C27" s="196"/>
      <c r="D27" s="196"/>
      <c r="E27" s="196"/>
      <c r="F27" s="196"/>
      <c r="G27" s="197"/>
      <c r="H27" s="142"/>
      <c r="I27" s="14"/>
      <c r="J27" s="199" t="s">
        <v>159</v>
      </c>
      <c r="K27" s="199"/>
      <c r="L27" s="200"/>
      <c r="M27" s="200"/>
      <c r="N27" s="200"/>
      <c r="O27" s="201" t="s">
        <v>158</v>
      </c>
      <c r="P27" s="202"/>
      <c r="Q27" s="1"/>
      <c r="R27" s="1"/>
      <c r="S27" s="11"/>
      <c r="T27" s="140"/>
      <c r="U27" s="140"/>
      <c r="AG27" s="3"/>
      <c r="AH27" s="3"/>
      <c r="AM27" s="2"/>
      <c r="AN27" s="2"/>
      <c r="AO27" s="2"/>
      <c r="AP27" s="2"/>
    </row>
    <row r="28" spans="1:42" ht="15" customHeight="1" thickBot="1" x14ac:dyDescent="0.4">
      <c r="K28" s="1"/>
      <c r="V28" s="11"/>
      <c r="W28" s="140"/>
      <c r="X28" s="140"/>
      <c r="AP28" s="2"/>
    </row>
    <row r="29" spans="1:42" ht="15" customHeight="1" x14ac:dyDescent="0.35">
      <c r="A29" s="177" t="s">
        <v>151</v>
      </c>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9"/>
      <c r="AP29" s="2"/>
    </row>
    <row r="30" spans="1:42" ht="15" customHeight="1" x14ac:dyDescent="0.35">
      <c r="A30" s="65"/>
      <c r="B30" s="180" t="s">
        <v>144</v>
      </c>
      <c r="C30" s="181"/>
      <c r="D30" s="181"/>
      <c r="E30" s="181"/>
      <c r="F30" s="181"/>
      <c r="G30" s="181"/>
      <c r="H30" s="181"/>
      <c r="I30" s="181"/>
      <c r="J30" s="181"/>
      <c r="K30" s="181"/>
      <c r="L30" s="181"/>
      <c r="M30" s="180" t="s">
        <v>143</v>
      </c>
      <c r="N30" s="181"/>
      <c r="O30" s="181"/>
      <c r="P30" s="181"/>
      <c r="Q30" s="182"/>
      <c r="R30" s="180" t="s">
        <v>145</v>
      </c>
      <c r="S30" s="181"/>
      <c r="T30" s="181"/>
      <c r="U30" s="181"/>
      <c r="V30" s="181"/>
      <c r="W30" s="181"/>
      <c r="X30" s="181"/>
      <c r="Y30" s="181"/>
      <c r="Z30" s="181"/>
      <c r="AA30" s="181"/>
      <c r="AB30" s="181"/>
      <c r="AC30" s="183"/>
      <c r="AE30" s="3"/>
      <c r="AF30" s="3"/>
      <c r="AG30" s="3"/>
      <c r="AH30" s="3"/>
      <c r="AI30" s="2"/>
      <c r="AJ30" s="2"/>
      <c r="AK30" s="2"/>
      <c r="AL30" s="2"/>
      <c r="AM30" s="2"/>
      <c r="AN30" s="2"/>
      <c r="AO30" s="2"/>
      <c r="AP30" s="2"/>
    </row>
    <row r="31" spans="1:42" ht="15" customHeight="1" x14ac:dyDescent="0.45">
      <c r="A31" s="66"/>
      <c r="B31" s="49" t="s">
        <v>5</v>
      </c>
      <c r="C31" s="172" t="s">
        <v>59</v>
      </c>
      <c r="D31" s="184"/>
      <c r="E31" s="173"/>
      <c r="F31" s="49" t="s">
        <v>60</v>
      </c>
      <c r="G31" s="185" t="s">
        <v>94</v>
      </c>
      <c r="H31" s="186"/>
      <c r="I31" s="138" t="s">
        <v>105</v>
      </c>
      <c r="J31" s="49" t="s">
        <v>77</v>
      </c>
      <c r="K31" s="184" t="s">
        <v>7</v>
      </c>
      <c r="L31" s="184"/>
      <c r="M31" s="49" t="s">
        <v>9</v>
      </c>
      <c r="N31" s="137" t="s">
        <v>9</v>
      </c>
      <c r="O31" s="49" t="s">
        <v>83</v>
      </c>
      <c r="P31" s="137" t="s">
        <v>112</v>
      </c>
      <c r="Q31" s="58" t="s">
        <v>11</v>
      </c>
      <c r="R31" s="168" t="s">
        <v>45</v>
      </c>
      <c r="S31" s="169"/>
      <c r="T31" s="187"/>
      <c r="U31" s="168" t="s">
        <v>46</v>
      </c>
      <c r="V31" s="169"/>
      <c r="W31" s="187"/>
      <c r="X31" s="168" t="s">
        <v>47</v>
      </c>
      <c r="Y31" s="169"/>
      <c r="Z31" s="187"/>
      <c r="AA31" s="168" t="s">
        <v>48</v>
      </c>
      <c r="AB31" s="169"/>
      <c r="AC31" s="170"/>
      <c r="AD31" s="133"/>
      <c r="AE31" s="171" t="s">
        <v>128</v>
      </c>
      <c r="AF31" s="171"/>
      <c r="AG31" s="171"/>
      <c r="AH31" s="171"/>
      <c r="AI31" s="2"/>
      <c r="AJ31" s="2"/>
      <c r="AK31" s="2"/>
      <c r="AL31" s="2"/>
      <c r="AM31" s="2"/>
      <c r="AN31" s="2"/>
      <c r="AO31" s="2"/>
      <c r="AP31" s="2"/>
    </row>
    <row r="32" spans="1:42" ht="15" customHeight="1" x14ac:dyDescent="0.35">
      <c r="A32" s="66"/>
      <c r="B32" s="50" t="s">
        <v>121</v>
      </c>
      <c r="C32" s="49" t="s">
        <v>57</v>
      </c>
      <c r="D32" s="172" t="s">
        <v>58</v>
      </c>
      <c r="E32" s="173"/>
      <c r="F32" s="50" t="s">
        <v>61</v>
      </c>
      <c r="G32" s="174" t="s">
        <v>12</v>
      </c>
      <c r="H32" s="175"/>
      <c r="I32" s="51" t="s">
        <v>39</v>
      </c>
      <c r="J32" s="50" t="s">
        <v>43</v>
      </c>
      <c r="K32" s="138" t="s">
        <v>119</v>
      </c>
      <c r="L32" s="137" t="s">
        <v>106</v>
      </c>
      <c r="M32" s="50" t="s">
        <v>42</v>
      </c>
      <c r="N32" s="53" t="s">
        <v>42</v>
      </c>
      <c r="O32" s="50" t="s">
        <v>84</v>
      </c>
      <c r="P32" s="53" t="s">
        <v>3</v>
      </c>
      <c r="Q32" s="50" t="s">
        <v>154</v>
      </c>
      <c r="R32" s="49" t="s">
        <v>117</v>
      </c>
      <c r="S32" s="49" t="s">
        <v>74</v>
      </c>
      <c r="T32" s="49" t="s">
        <v>75</v>
      </c>
      <c r="U32" s="49" t="s">
        <v>117</v>
      </c>
      <c r="V32" s="138" t="s">
        <v>74</v>
      </c>
      <c r="W32" s="49" t="s">
        <v>75</v>
      </c>
      <c r="X32" s="49" t="s">
        <v>117</v>
      </c>
      <c r="Y32" s="49" t="s">
        <v>74</v>
      </c>
      <c r="Z32" s="49" t="s">
        <v>75</v>
      </c>
      <c r="AA32" s="49" t="s">
        <v>117</v>
      </c>
      <c r="AB32" s="49" t="s">
        <v>74</v>
      </c>
      <c r="AC32" s="52" t="s">
        <v>75</v>
      </c>
      <c r="AD32" s="141"/>
      <c r="AE32" s="176" t="s">
        <v>45</v>
      </c>
      <c r="AF32" s="176" t="s">
        <v>46</v>
      </c>
      <c r="AG32" s="176" t="s">
        <v>47</v>
      </c>
      <c r="AH32" s="176" t="s">
        <v>48</v>
      </c>
      <c r="AI32" s="2"/>
      <c r="AJ32" s="2"/>
      <c r="AK32" s="2"/>
      <c r="AL32" s="2"/>
      <c r="AM32" s="2"/>
      <c r="AN32" s="2"/>
      <c r="AO32" s="2"/>
      <c r="AP32" s="2"/>
    </row>
    <row r="33" spans="1:42" ht="15" customHeight="1" x14ac:dyDescent="0.45">
      <c r="A33" s="67" t="s">
        <v>2</v>
      </c>
      <c r="B33" s="50" t="s">
        <v>8</v>
      </c>
      <c r="C33" s="54"/>
      <c r="D33" s="49" t="s">
        <v>69</v>
      </c>
      <c r="E33" s="49" t="s">
        <v>123</v>
      </c>
      <c r="F33" s="50" t="s">
        <v>8</v>
      </c>
      <c r="G33" s="137" t="s">
        <v>62</v>
      </c>
      <c r="H33" s="49" t="s">
        <v>41</v>
      </c>
      <c r="I33" s="51" t="s">
        <v>62</v>
      </c>
      <c r="J33" s="50" t="s">
        <v>44</v>
      </c>
      <c r="K33" s="51" t="s">
        <v>120</v>
      </c>
      <c r="L33" s="53" t="s">
        <v>3</v>
      </c>
      <c r="M33" s="50" t="s">
        <v>4</v>
      </c>
      <c r="N33" s="53" t="s">
        <v>73</v>
      </c>
      <c r="O33" s="50" t="s">
        <v>114</v>
      </c>
      <c r="P33" s="53" t="s">
        <v>115</v>
      </c>
      <c r="Q33" s="59" t="s">
        <v>107</v>
      </c>
      <c r="R33" s="50" t="s">
        <v>82</v>
      </c>
      <c r="S33" s="50" t="s">
        <v>81</v>
      </c>
      <c r="T33" s="50" t="s">
        <v>146</v>
      </c>
      <c r="U33" s="50" t="s">
        <v>82</v>
      </c>
      <c r="V33" s="51" t="s">
        <v>81</v>
      </c>
      <c r="W33" s="50" t="s">
        <v>146</v>
      </c>
      <c r="X33" s="50" t="s">
        <v>82</v>
      </c>
      <c r="Y33" s="50" t="s">
        <v>81</v>
      </c>
      <c r="Z33" s="50" t="s">
        <v>146</v>
      </c>
      <c r="AA33" s="50" t="s">
        <v>82</v>
      </c>
      <c r="AB33" s="50" t="s">
        <v>81</v>
      </c>
      <c r="AC33" s="55" t="s">
        <v>146</v>
      </c>
      <c r="AD33" s="141"/>
      <c r="AE33" s="176"/>
      <c r="AF33" s="176"/>
      <c r="AG33" s="176"/>
      <c r="AH33" s="176"/>
      <c r="AI33" s="2"/>
      <c r="AJ33" s="2"/>
      <c r="AK33" s="2"/>
      <c r="AL33" s="2"/>
      <c r="AM33" s="2"/>
      <c r="AN33" s="2"/>
      <c r="AO33" s="2"/>
      <c r="AP33" s="2"/>
    </row>
    <row r="34" spans="1:42" ht="15" customHeight="1" x14ac:dyDescent="0.45">
      <c r="A34" s="68" t="s">
        <v>49</v>
      </c>
      <c r="B34" s="56" t="s">
        <v>80</v>
      </c>
      <c r="C34" s="50" t="s">
        <v>12</v>
      </c>
      <c r="D34" s="50" t="s">
        <v>12</v>
      </c>
      <c r="E34" s="50" t="s">
        <v>12</v>
      </c>
      <c r="F34" s="50" t="s">
        <v>80</v>
      </c>
      <c r="G34" s="135" t="s">
        <v>12</v>
      </c>
      <c r="H34" s="56" t="s">
        <v>12</v>
      </c>
      <c r="I34" s="51" t="s">
        <v>40</v>
      </c>
      <c r="J34" s="50" t="s">
        <v>125</v>
      </c>
      <c r="K34" s="136" t="s">
        <v>155</v>
      </c>
      <c r="L34" s="53" t="s">
        <v>125</v>
      </c>
      <c r="M34" s="56" t="s">
        <v>107</v>
      </c>
      <c r="N34" s="53" t="s">
        <v>108</v>
      </c>
      <c r="O34" s="56" t="s">
        <v>116</v>
      </c>
      <c r="P34" s="135" t="s">
        <v>125</v>
      </c>
      <c r="Q34" s="50" t="s">
        <v>125</v>
      </c>
      <c r="R34" s="56" t="s">
        <v>127</v>
      </c>
      <c r="S34" s="56" t="s">
        <v>76</v>
      </c>
      <c r="T34" s="56" t="s">
        <v>150</v>
      </c>
      <c r="U34" s="56" t="s">
        <v>127</v>
      </c>
      <c r="V34" s="136" t="s">
        <v>76</v>
      </c>
      <c r="W34" s="56" t="s">
        <v>150</v>
      </c>
      <c r="X34" s="56" t="s">
        <v>127</v>
      </c>
      <c r="Y34" s="56" t="s">
        <v>76</v>
      </c>
      <c r="Z34" s="56" t="s">
        <v>150</v>
      </c>
      <c r="AA34" s="56" t="s">
        <v>127</v>
      </c>
      <c r="AB34" s="56" t="s">
        <v>76</v>
      </c>
      <c r="AC34" s="57" t="s">
        <v>150</v>
      </c>
      <c r="AD34" s="133"/>
      <c r="AE34" s="18" t="s">
        <v>51</v>
      </c>
      <c r="AF34" s="18" t="s">
        <v>51</v>
      </c>
      <c r="AG34" s="18" t="s">
        <v>51</v>
      </c>
      <c r="AH34" s="18" t="s">
        <v>51</v>
      </c>
      <c r="AI34" s="2"/>
      <c r="AJ34" s="2"/>
      <c r="AK34" s="2"/>
      <c r="AL34" s="2"/>
      <c r="AM34" s="2"/>
      <c r="AN34" s="2"/>
      <c r="AO34" s="2"/>
      <c r="AP34" s="2"/>
    </row>
    <row r="35" spans="1:42" ht="15.65" customHeight="1" x14ac:dyDescent="0.35">
      <c r="A35" s="69" t="s">
        <v>14</v>
      </c>
      <c r="B35" s="131"/>
      <c r="C35" s="19">
        <f>IF($F$14="","",IF($F$14="Hourly","",IF($E$20="","",(IF($E$20="User Defined",AADT!B6,IF($E$20="Urban",AADT!E6,IF($E$20="Rural",AADT!H6,"ERR")))))))</f>
        <v>0.9</v>
      </c>
      <c r="D35" s="134">
        <f>IF($F$14="","",IF($F$14="Hourly","",IF($E$20="","",(IF($E$20="User Defined",AADT!C6,IF($E$20="Urban",AADT!F6,IF($E$20="Rural",AADT!I6,"ERR")))))))</f>
        <v>50</v>
      </c>
      <c r="E35" s="15">
        <f>IF($F$14="","",IF($F$14="Hourly","",IF($E$20="","",(IF($E$20="User Defined",AADT!D6,IF($E$20="Urban",AADT!G6,IF($E$20="Rural",AADT!J6,"ERR")))))))</f>
        <v>50</v>
      </c>
      <c r="F35" s="104">
        <f>IF($F$14="AADT",IF($F$18="","",(IF($E$20="","",(IF($E$21="","",(IF($E$21="Upstation",+$F$18*(C35/100)*(D35/100),IF($E$21="Downstation",+$F$18*(C35/100)*(E35/100),"-")))))))),"")</f>
        <v>225.00000000000003</v>
      </c>
      <c r="G35" s="107"/>
      <c r="H35" s="20">
        <f t="shared" ref="H35:H58" si="0">$F$23+G35</f>
        <v>5</v>
      </c>
      <c r="I35" s="21">
        <f t="shared" ref="I35:I58" si="1">1/(1+(H35/100)*($O$4-1))</f>
        <v>0.93023255813953487</v>
      </c>
      <c r="J35" s="22">
        <f>IF($F$14="",0,IF($F$14="Hourly",B35/I35,IF($F$18="",0,IF($E$20="",0,IF($E$21="",0,F35/I35)))))</f>
        <v>241.87500000000003</v>
      </c>
      <c r="K35" s="42"/>
      <c r="L35" s="22">
        <f t="shared" ref="L35:L58" si="2">IF($F$14="",0,IF(J35&gt;$F$25,$F$25+(J35-$F$25)*(1-K35/100),J35))</f>
        <v>241.87500000000003</v>
      </c>
      <c r="M35" s="42">
        <v>1</v>
      </c>
      <c r="N35" s="15">
        <f t="shared" ref="N35:N58" si="3">$O$2-M35</f>
        <v>1</v>
      </c>
      <c r="O35" s="43"/>
      <c r="P35" s="44"/>
      <c r="Q35" s="22">
        <f t="shared" ref="Q35:Q58" si="4">IF(M35&gt;0,(1600+O35+$O$19)*(N35)-P35,"")</f>
        <v>1200</v>
      </c>
      <c r="R35" s="104">
        <f>IF(J35&gt;($O$14*$O$2),J35-($O$14*$O$2),0)</f>
        <v>0</v>
      </c>
      <c r="S35" s="20">
        <f t="shared" ref="S35:S58" si="5">+(R35*$O$25/5280)/$O$2</f>
        <v>0</v>
      </c>
      <c r="T35" s="20">
        <f>+R35*0.5</f>
        <v>0</v>
      </c>
      <c r="U35" s="22">
        <f>IF(L35&gt;($O$14*$O$2),L35-($O$14*$O$2),0)</f>
        <v>0</v>
      </c>
      <c r="V35" s="20">
        <f t="shared" ref="V35:V58" si="6">+(U35*$O$25/5280)/$O$2</f>
        <v>0</v>
      </c>
      <c r="W35" s="20">
        <f>+U35*0.5</f>
        <v>0</v>
      </c>
      <c r="X35" s="22">
        <f>IF(J35&gt;MIN(($O$14*$O$2),Q35),J35-MIN(($O$14*$O$2),Q35),0)</f>
        <v>0</v>
      </c>
      <c r="Y35" s="20">
        <f t="shared" ref="Y35:Y58" si="7">+(X35*$O$25/5280)/$O$2</f>
        <v>0</v>
      </c>
      <c r="Z35" s="20">
        <f>+X35*0.5</f>
        <v>0</v>
      </c>
      <c r="AA35" s="22">
        <f>IF(L35&gt;MIN(($O$14*$O$2),Q35),L35-MIN(($O$14*$O$2),Q35),0)</f>
        <v>0</v>
      </c>
      <c r="AB35" s="20">
        <f t="shared" ref="AB35:AB58" si="8">+(AA35*$O$25/5280)/$O$2</f>
        <v>0</v>
      </c>
      <c r="AC35" s="23">
        <f>+AA35*0.5</f>
        <v>0</v>
      </c>
      <c r="AD35" s="24"/>
      <c r="AE35" s="25">
        <f>H35</f>
        <v>5</v>
      </c>
      <c r="AF35" s="25">
        <f>+H35</f>
        <v>5</v>
      </c>
      <c r="AG35" s="25">
        <f>+H35</f>
        <v>5</v>
      </c>
      <c r="AH35" s="25">
        <f>+H35</f>
        <v>5</v>
      </c>
      <c r="AI35" s="2"/>
      <c r="AJ35" s="2"/>
      <c r="AK35" s="2"/>
      <c r="AL35" s="2"/>
      <c r="AM35" s="2"/>
      <c r="AN35" s="2"/>
      <c r="AO35" s="2"/>
      <c r="AP35" s="2"/>
    </row>
    <row r="36" spans="1:42" ht="15.65" customHeight="1" x14ac:dyDescent="0.35">
      <c r="A36" s="70" t="s">
        <v>15</v>
      </c>
      <c r="B36" s="131"/>
      <c r="C36" s="26">
        <f>IF($F$14="","",IF($F$14="Hourly","",IF($E$20="","",(IF($E$20="User Defined",AADT!B7,IF($E$20="Urban",AADT!E7,IF($E$20="Rural",AADT!H7,"ERR")))))))</f>
        <v>0.6</v>
      </c>
      <c r="D36" s="132">
        <f>IF($F$14="","",IF($F$14="Hourly","",IF($E$20="","",(IF($E$20="User Defined",AADT!C7,IF($E$20="Urban",AADT!F7,IF($E$20="Rural",AADT!I7,"ERR")))))))</f>
        <v>50</v>
      </c>
      <c r="E36" s="16">
        <f>IF($F$14="","",IF($F$14="Hourly","",IF($E$20="","",(IF($E$20="User Defined",AADT!D7,IF($E$20="Urban",AADT!G7,IF($E$20="Rural",AADT!J7,"ERR")))))))</f>
        <v>50</v>
      </c>
      <c r="F36" s="105">
        <f t="shared" ref="F36:F58" si="9">IF($F$14="AADT",IF($F$18="","",(IF($E$20="","",(IF($E$21="","",(IF($E$21="Upstation",+$F$18*(C36/100)*(D36/100),IF($E$21="Downstation",+$F$18*(C36/100)*(E36/100),"-")))))))),"")</f>
        <v>150</v>
      </c>
      <c r="G36" s="108"/>
      <c r="H36" s="27">
        <f t="shared" si="0"/>
        <v>5</v>
      </c>
      <c r="I36" s="28">
        <f t="shared" si="1"/>
        <v>0.93023255813953487</v>
      </c>
      <c r="J36" s="29">
        <f t="shared" ref="J36:J58" si="10">IF($F$14="",0,IF($F$14="Hourly",B36/I36,IF($F$18="",0,IF($E$20="",0,IF($E$21="",0,F36/I36)))))</f>
        <v>161.25</v>
      </c>
      <c r="K36" s="145"/>
      <c r="L36" s="29">
        <f t="shared" si="2"/>
        <v>161.25</v>
      </c>
      <c r="M36" s="145">
        <v>1</v>
      </c>
      <c r="N36" s="16">
        <f t="shared" si="3"/>
        <v>1</v>
      </c>
      <c r="O36" s="45"/>
      <c r="P36" s="46"/>
      <c r="Q36" s="29">
        <f t="shared" si="4"/>
        <v>1200</v>
      </c>
      <c r="R36" s="105">
        <f t="shared" ref="R36:R58" si="11">IF(R35+J36&gt;($O$14*$O$2),R35+J36-($O$14*$O$2),0)</f>
        <v>0</v>
      </c>
      <c r="S36" s="27">
        <f t="shared" si="5"/>
        <v>0</v>
      </c>
      <c r="T36" s="27">
        <f>+MIN(R35:R36)+0.5*AVERAGE(R35:R36)</f>
        <v>0</v>
      </c>
      <c r="U36" s="29">
        <f t="shared" ref="U36:U58" si="12">IF(U35+L36&gt;($O$14*$O$2),U35+L36-($O$14*$O$2),0)</f>
        <v>0</v>
      </c>
      <c r="V36" s="27">
        <f t="shared" si="6"/>
        <v>0</v>
      </c>
      <c r="W36" s="27">
        <f>+MIN(U35:U36)+0.5*AVERAGE(U35:U36)</f>
        <v>0</v>
      </c>
      <c r="X36" s="29">
        <f t="shared" ref="X36:X58" si="13">IF((X35+J36)&gt;MIN(($O$14*$O$2),Q36),(X35+J36)-MIN(($O$14*$O$2),Q36),0)</f>
        <v>0</v>
      </c>
      <c r="Y36" s="27">
        <f t="shared" si="7"/>
        <v>0</v>
      </c>
      <c r="Z36" s="27">
        <f>+MIN(X35:X36)+0.5*AVERAGE(X35:X36)</f>
        <v>0</v>
      </c>
      <c r="AA36" s="29">
        <f t="shared" ref="AA36:AA58" si="14">IF((AA35+L36)&gt;MIN(($O$14*$O$2),Q36),(AA35+L36)-MIN(($O$14*$O$2),Q36),0)</f>
        <v>0</v>
      </c>
      <c r="AB36" s="27">
        <f t="shared" si="8"/>
        <v>0</v>
      </c>
      <c r="AC36" s="30">
        <f>+MIN(AA35:AA36)+0.5*AVERAGE(AA35:AA36)</f>
        <v>0</v>
      </c>
      <c r="AD36" s="24"/>
      <c r="AE36" s="25">
        <f>IF(R35=0,H36,AVERAGE(H35:H36))</f>
        <v>5</v>
      </c>
      <c r="AF36" s="25">
        <f>IF(U35=0,H36,AVERAGE(H35:H36))</f>
        <v>5</v>
      </c>
      <c r="AG36" s="25">
        <f>IF(X35=0,H36,AVERAGE(H35:H36))</f>
        <v>5</v>
      </c>
      <c r="AH36" s="25">
        <f>IF(AA35=0,H36,AVERAGE(H35:H36))</f>
        <v>5</v>
      </c>
      <c r="AI36" s="2"/>
      <c r="AJ36" s="2"/>
      <c r="AK36" s="2"/>
      <c r="AL36" s="2"/>
      <c r="AM36" s="2"/>
      <c r="AN36" s="2"/>
      <c r="AO36" s="2"/>
      <c r="AP36" s="2"/>
    </row>
    <row r="37" spans="1:42" ht="15.65" customHeight="1" x14ac:dyDescent="0.35">
      <c r="A37" s="70" t="s">
        <v>16</v>
      </c>
      <c r="B37" s="131"/>
      <c r="C37" s="26">
        <f>IF($F$14="","",IF($F$14="Hourly","",IF($E$20="","",(IF($E$20="User Defined",AADT!B8,IF($E$20="Urban",AADT!E8,IF($E$20="Rural",AADT!H8,"ERR")))))))</f>
        <v>0.4</v>
      </c>
      <c r="D37" s="132">
        <f>IF($F$14="","",IF($F$14="Hourly","",IF($E$20="","",(IF($E$20="User Defined",AADT!C8,IF($E$20="Urban",AADT!F8,IF($E$20="Rural",AADT!I8,"ERR")))))))</f>
        <v>50</v>
      </c>
      <c r="E37" s="16">
        <f>IF($F$14="","",IF($F$14="Hourly","",IF($E$20="","",(IF($E$20="User Defined",AADT!D8,IF($E$20="Urban",AADT!G8,IF($E$20="Rural",AADT!J8,"ERR")))))))</f>
        <v>50</v>
      </c>
      <c r="F37" s="105">
        <f t="shared" si="9"/>
        <v>100</v>
      </c>
      <c r="G37" s="108"/>
      <c r="H37" s="27">
        <f t="shared" si="0"/>
        <v>5</v>
      </c>
      <c r="I37" s="28">
        <f t="shared" si="1"/>
        <v>0.93023255813953487</v>
      </c>
      <c r="J37" s="29">
        <f t="shared" si="10"/>
        <v>107.5</v>
      </c>
      <c r="K37" s="42"/>
      <c r="L37" s="29">
        <f t="shared" si="2"/>
        <v>107.5</v>
      </c>
      <c r="M37" s="145">
        <v>1</v>
      </c>
      <c r="N37" s="16">
        <f t="shared" si="3"/>
        <v>1</v>
      </c>
      <c r="O37" s="45"/>
      <c r="P37" s="46"/>
      <c r="Q37" s="29">
        <f t="shared" si="4"/>
        <v>1200</v>
      </c>
      <c r="R37" s="105">
        <f t="shared" si="11"/>
        <v>0</v>
      </c>
      <c r="S37" s="27">
        <f t="shared" si="5"/>
        <v>0</v>
      </c>
      <c r="T37" s="27">
        <f t="shared" ref="T37:T58" si="15">+MIN(R36:R37)+0.5*AVERAGE(R36:R37)</f>
        <v>0</v>
      </c>
      <c r="U37" s="29">
        <f t="shared" si="12"/>
        <v>0</v>
      </c>
      <c r="V37" s="27">
        <f t="shared" si="6"/>
        <v>0</v>
      </c>
      <c r="W37" s="27">
        <f t="shared" ref="W37:W58" si="16">+MIN(U36:U37)+0.5*AVERAGE(U36:U37)</f>
        <v>0</v>
      </c>
      <c r="X37" s="29">
        <f t="shared" si="13"/>
        <v>0</v>
      </c>
      <c r="Y37" s="27">
        <f t="shared" si="7"/>
        <v>0</v>
      </c>
      <c r="Z37" s="27">
        <f t="shared" ref="Z37:Z58" si="17">+MIN(X36:X37)+0.5*AVERAGE(X36:X37)</f>
        <v>0</v>
      </c>
      <c r="AA37" s="29">
        <f t="shared" si="14"/>
        <v>0</v>
      </c>
      <c r="AB37" s="27">
        <f t="shared" si="8"/>
        <v>0</v>
      </c>
      <c r="AC37" s="30">
        <f t="shared" ref="AC37:AC58" si="18">+MIN(AA36:AA37)+0.5*AVERAGE(AA36:AA37)</f>
        <v>0</v>
      </c>
      <c r="AD37" s="24"/>
      <c r="AE37" s="25">
        <f>IF(R36=0,H37,IF(R36&lt;J36,AVERAGE(H36:H37),AVERAGE(H35:H37)))</f>
        <v>5</v>
      </c>
      <c r="AF37" s="25">
        <f>IF(U36=0,H37,IF(U36&lt;L36,AVERAGE(H36:H37),AVERAGE(H35:H37)))</f>
        <v>5</v>
      </c>
      <c r="AG37" s="25">
        <f>IF(X36=0,H37,IF(X36&lt;J36,AVERAGE(H36:H37),AVERAGE(H35:H37)))</f>
        <v>5</v>
      </c>
      <c r="AH37" s="25">
        <f>IF(AA36=0,H37,IF(AA36&lt;L36,AVERAGE(H36:H37),AVERAGE(H35:H37)))</f>
        <v>5</v>
      </c>
      <c r="AI37" s="2"/>
      <c r="AJ37" s="2"/>
      <c r="AK37" s="2"/>
      <c r="AL37" s="2"/>
      <c r="AM37" s="2"/>
      <c r="AN37" s="2"/>
      <c r="AO37" s="2"/>
      <c r="AP37" s="2"/>
    </row>
    <row r="38" spans="1:42" ht="15.65" customHeight="1" x14ac:dyDescent="0.35">
      <c r="A38" s="70" t="s">
        <v>17</v>
      </c>
      <c r="B38" s="131"/>
      <c r="C38" s="26">
        <f>IF($F$14="","",IF($F$14="Hourly","",IF($E$20="","",(IF($E$20="User Defined",AADT!B9,IF($E$20="Urban",AADT!E9,IF($E$20="Rural",AADT!H9,"ERR")))))))</f>
        <v>0.5</v>
      </c>
      <c r="D38" s="132">
        <f>IF($F$14="","",IF($F$14="Hourly","",IF($E$20="","",(IF($E$20="User Defined",AADT!C9,IF($E$20="Urban",AADT!F9,IF($E$20="Rural",AADT!I9,"ERR")))))))</f>
        <v>50</v>
      </c>
      <c r="E38" s="16">
        <f>IF($F$14="","",IF($F$14="Hourly","",IF($E$20="","",(IF($E$20="User Defined",AADT!D9,IF($E$20="Urban",AADT!G9,IF($E$20="Rural",AADT!J9,"ERR")))))))</f>
        <v>50</v>
      </c>
      <c r="F38" s="105">
        <f t="shared" si="9"/>
        <v>125</v>
      </c>
      <c r="G38" s="108"/>
      <c r="H38" s="27">
        <f t="shared" si="0"/>
        <v>5</v>
      </c>
      <c r="I38" s="28">
        <f t="shared" si="1"/>
        <v>0.93023255813953487</v>
      </c>
      <c r="J38" s="29">
        <f t="shared" si="10"/>
        <v>134.375</v>
      </c>
      <c r="K38" s="145"/>
      <c r="L38" s="29">
        <f t="shared" si="2"/>
        <v>134.375</v>
      </c>
      <c r="M38" s="145">
        <v>1</v>
      </c>
      <c r="N38" s="16">
        <f t="shared" si="3"/>
        <v>1</v>
      </c>
      <c r="O38" s="45"/>
      <c r="P38" s="46"/>
      <c r="Q38" s="29">
        <f t="shared" si="4"/>
        <v>1200</v>
      </c>
      <c r="R38" s="105">
        <f t="shared" si="11"/>
        <v>0</v>
      </c>
      <c r="S38" s="27">
        <f t="shared" si="5"/>
        <v>0</v>
      </c>
      <c r="T38" s="27">
        <f t="shared" si="15"/>
        <v>0</v>
      </c>
      <c r="U38" s="29">
        <f t="shared" si="12"/>
        <v>0</v>
      </c>
      <c r="V38" s="27">
        <f t="shared" si="6"/>
        <v>0</v>
      </c>
      <c r="W38" s="27">
        <f t="shared" si="16"/>
        <v>0</v>
      </c>
      <c r="X38" s="29">
        <f t="shared" si="13"/>
        <v>0</v>
      </c>
      <c r="Y38" s="27">
        <f t="shared" si="7"/>
        <v>0</v>
      </c>
      <c r="Z38" s="27">
        <f t="shared" si="17"/>
        <v>0</v>
      </c>
      <c r="AA38" s="29">
        <f t="shared" si="14"/>
        <v>0</v>
      </c>
      <c r="AB38" s="27">
        <f t="shared" si="8"/>
        <v>0</v>
      </c>
      <c r="AC38" s="30">
        <f t="shared" si="18"/>
        <v>0</v>
      </c>
      <c r="AD38" s="24"/>
      <c r="AE38" s="25">
        <f>IF(R37=0,H38,IF(R37&lt;J37,AVERAGE(H37:H38),IF(R37&lt;(J37+J36),AVERAGE(H36:H38),AVERAGE(H35:H38))))</f>
        <v>5</v>
      </c>
      <c r="AF38" s="25">
        <f>IF(U37=0,H38,IF(U37&lt;L37,AVERAGE(H37:H38),IF(U37&lt;(L37+L36),AVERAGE(H36:H38),AVERAGE(H35:H38))))</f>
        <v>5</v>
      </c>
      <c r="AG38" s="25">
        <f>IF(X37=0,H38,IF(X37&lt;J37,AVERAGE(H37:H38),IF(X37&lt;(J37+J36),AVERAGE(H36:H38),AVERAGE(H35:H38))))</f>
        <v>5</v>
      </c>
      <c r="AH38" s="25">
        <f>IF(AA37=0,H38,IF(AA37&lt;L37,AVERAGE(H37:H38),IF(AA37&lt;(L37+L36),AVERAGE(H36:H38),AVERAGE(H35:H38))))</f>
        <v>5</v>
      </c>
      <c r="AI38" s="2"/>
      <c r="AJ38" s="2"/>
      <c r="AK38" s="2"/>
      <c r="AL38" s="2"/>
      <c r="AM38" s="2"/>
      <c r="AN38" s="2"/>
      <c r="AO38" s="2"/>
      <c r="AP38" s="2"/>
    </row>
    <row r="39" spans="1:42" ht="15.65" customHeight="1" x14ac:dyDescent="0.35">
      <c r="A39" s="70" t="s">
        <v>18</v>
      </c>
      <c r="B39" s="131"/>
      <c r="C39" s="26">
        <f>IF($F$14="","",IF($F$14="Hourly","",IF($E$20="","",(IF($E$20="User Defined",AADT!B10,IF($E$20="Urban",AADT!E10,IF($E$20="Rural",AADT!H10,"ERR")))))))</f>
        <v>0.9</v>
      </c>
      <c r="D39" s="132">
        <f>IF($F$14="","",IF($F$14="Hourly","",IF($E$20="","",(IF($E$20="User Defined",AADT!C10,IF($E$20="Urban",AADT!F10,IF($E$20="Rural",AADT!I10,"ERR")))))))</f>
        <v>50</v>
      </c>
      <c r="E39" s="16">
        <f>IF($F$14="","",IF($F$14="Hourly","",IF($E$20="","",(IF($E$20="User Defined",AADT!D10,IF($E$20="Urban",AADT!G10,IF($E$20="Rural",AADT!J10,"ERR")))))))</f>
        <v>50</v>
      </c>
      <c r="F39" s="105">
        <f t="shared" si="9"/>
        <v>225.00000000000003</v>
      </c>
      <c r="G39" s="108"/>
      <c r="H39" s="27">
        <f t="shared" si="0"/>
        <v>5</v>
      </c>
      <c r="I39" s="28">
        <f t="shared" si="1"/>
        <v>0.93023255813953487</v>
      </c>
      <c r="J39" s="29">
        <f t="shared" si="10"/>
        <v>241.87500000000003</v>
      </c>
      <c r="K39" s="42"/>
      <c r="L39" s="29">
        <f t="shared" si="2"/>
        <v>241.87500000000003</v>
      </c>
      <c r="M39" s="145">
        <v>1</v>
      </c>
      <c r="N39" s="16">
        <f t="shared" si="3"/>
        <v>1</v>
      </c>
      <c r="O39" s="45"/>
      <c r="P39" s="46"/>
      <c r="Q39" s="29">
        <f t="shared" si="4"/>
        <v>1200</v>
      </c>
      <c r="R39" s="105">
        <f t="shared" si="11"/>
        <v>0</v>
      </c>
      <c r="S39" s="27">
        <f t="shared" si="5"/>
        <v>0</v>
      </c>
      <c r="T39" s="27">
        <f t="shared" si="15"/>
        <v>0</v>
      </c>
      <c r="U39" s="29">
        <f t="shared" si="12"/>
        <v>0</v>
      </c>
      <c r="V39" s="27">
        <f t="shared" si="6"/>
        <v>0</v>
      </c>
      <c r="W39" s="27">
        <f t="shared" si="16"/>
        <v>0</v>
      </c>
      <c r="X39" s="29">
        <f t="shared" si="13"/>
        <v>0</v>
      </c>
      <c r="Y39" s="27">
        <f t="shared" si="7"/>
        <v>0</v>
      </c>
      <c r="Z39" s="27">
        <f t="shared" si="17"/>
        <v>0</v>
      </c>
      <c r="AA39" s="29">
        <f t="shared" si="14"/>
        <v>0</v>
      </c>
      <c r="AB39" s="27">
        <f t="shared" si="8"/>
        <v>0</v>
      </c>
      <c r="AC39" s="30">
        <f t="shared" si="18"/>
        <v>0</v>
      </c>
      <c r="AD39" s="24"/>
      <c r="AE39" s="25">
        <f>IF(R38=0,H39,IF(R38&lt;J38,AVERAGE(H38:H39),IF(R38&lt;(J38+J37),AVERAGE(H37:H39),IF(R38&lt;SUM(J38:J39),AVERAGE(H36:H39),AVERAGE(H35:H39)))))</f>
        <v>5</v>
      </c>
      <c r="AF39" s="25">
        <f>IF(U38=0,H39,IF(U38&lt;L38,AVERAGE(H38:H39),IF(U38&lt;(L38+L37),AVERAGE(H37:H39),IF(U38&lt;SUM(L36:L38),AVERAGE(H36:H39),AVERAGE(H35:H39)))))</f>
        <v>5</v>
      </c>
      <c r="AG39" s="25">
        <f>IF(X38=0,H39,IF(X38&lt;J38,AVERAGE(H38:H39),IF(X38&lt;(J38+J37),AVERAGE(H37:H39),IF(X38&lt;SUM(J36:J38),AVERAGE(H36:H39),AVERAGE(H35:H39)))))</f>
        <v>5</v>
      </c>
      <c r="AH39" s="25">
        <f>IF(AA38=0,H39,IF(AA38&lt;L38,AVERAGE(H38:H39),IF(AA38&lt;(L38+L37),AVERAGE(H37:H39),IF(AA38&lt;SUM(L36:L38),AVERAGE(H36:H39),AVERAGE(H35:H39)))))</f>
        <v>5</v>
      </c>
      <c r="AI39" s="2"/>
      <c r="AJ39" s="2"/>
      <c r="AK39" s="2"/>
      <c r="AL39" s="2"/>
      <c r="AM39" s="2"/>
      <c r="AN39" s="2"/>
      <c r="AO39" s="2"/>
      <c r="AP39" s="2"/>
    </row>
    <row r="40" spans="1:42" ht="15.65" customHeight="1" x14ac:dyDescent="0.35">
      <c r="A40" s="70" t="s">
        <v>19</v>
      </c>
      <c r="B40" s="131"/>
      <c r="C40" s="26">
        <f>IF($F$14="","",IF($F$14="Hourly","",IF($E$20="","",(IF($E$20="User Defined",AADT!B11,IF($E$20="Urban",AADT!E11,IF($E$20="Rural",AADT!H11,"ERR")))))))</f>
        <v>2.4</v>
      </c>
      <c r="D40" s="132">
        <f>IF($F$14="","",IF($F$14="Hourly","",IF($E$20="","",(IF($E$20="User Defined",AADT!C11,IF($E$20="Urban",AADT!F11,IF($E$20="Rural",AADT!I11,"ERR")))))))</f>
        <v>50</v>
      </c>
      <c r="E40" s="16">
        <f>IF($F$14="","",IF($F$14="Hourly","",IF($E$20="","",(IF($E$20="User Defined",AADT!D11,IF($E$20="Urban",AADT!G11,IF($E$20="Rural",AADT!J11,"ERR")))))))</f>
        <v>50</v>
      </c>
      <c r="F40" s="105">
        <f t="shared" si="9"/>
        <v>600</v>
      </c>
      <c r="G40" s="108"/>
      <c r="H40" s="27">
        <f t="shared" si="0"/>
        <v>5</v>
      </c>
      <c r="I40" s="28">
        <f t="shared" si="1"/>
        <v>0.93023255813953487</v>
      </c>
      <c r="J40" s="29">
        <f t="shared" si="10"/>
        <v>645</v>
      </c>
      <c r="K40" s="145"/>
      <c r="L40" s="29">
        <f t="shared" si="2"/>
        <v>645</v>
      </c>
      <c r="M40" s="145">
        <v>1</v>
      </c>
      <c r="N40" s="16">
        <f t="shared" si="3"/>
        <v>1</v>
      </c>
      <c r="O40" s="45"/>
      <c r="P40" s="46"/>
      <c r="Q40" s="29">
        <f t="shared" si="4"/>
        <v>1200</v>
      </c>
      <c r="R40" s="105">
        <f t="shared" si="11"/>
        <v>0</v>
      </c>
      <c r="S40" s="27">
        <f t="shared" si="5"/>
        <v>0</v>
      </c>
      <c r="T40" s="27">
        <f t="shared" si="15"/>
        <v>0</v>
      </c>
      <c r="U40" s="29">
        <f t="shared" si="12"/>
        <v>0</v>
      </c>
      <c r="V40" s="27">
        <f t="shared" si="6"/>
        <v>0</v>
      </c>
      <c r="W40" s="27">
        <f t="shared" si="16"/>
        <v>0</v>
      </c>
      <c r="X40" s="29">
        <f t="shared" si="13"/>
        <v>0</v>
      </c>
      <c r="Y40" s="27">
        <f t="shared" si="7"/>
        <v>0</v>
      </c>
      <c r="Z40" s="27">
        <f t="shared" si="17"/>
        <v>0</v>
      </c>
      <c r="AA40" s="29">
        <f t="shared" si="14"/>
        <v>0</v>
      </c>
      <c r="AB40" s="27">
        <f t="shared" si="8"/>
        <v>0</v>
      </c>
      <c r="AC40" s="30">
        <f t="shared" si="18"/>
        <v>0</v>
      </c>
      <c r="AD40" s="24"/>
      <c r="AE40" s="25">
        <f>IF(R39=0,H40,IF(R39&lt;J39,AVERAGE(H39:H40),IF(R39&lt;(J39+J38),AVERAGE(H38:H40),IF(R39&lt;SUM(J39:J40),AVERAGE(H37:H40),IF(R39&lt;SUM(J36:J39),AVERAGE(H36:H40),AVERAGE(H35:H40))))))</f>
        <v>5</v>
      </c>
      <c r="AF40" s="25">
        <f>IF(U39=0,H40,IF(U39&lt;L39,AVERAGE(H39:H40),IF(U39&lt;(L39+L38),AVERAGE(H38:H40),IF(U39&lt;SUM(L37:L39),AVERAGE(H37:H40),IF(U39&lt;SUM(L36:L39),AVERAGE(H36:H40),AVERAGE(H35:H40))))))</f>
        <v>5</v>
      </c>
      <c r="AG40" s="25">
        <f>IF(X39=0,H40,IF(X39&lt;J39,AVERAGE(H39:H40),IF(X39&lt;(J39+J38),AVERAGE(H38:H40),IF(X39&lt;SUM(J37:J39),AVERAGE(H37:H40),IF(X39&lt;SUM(J36:J39),AVERAGE(H36:H40),AVERAGE(H35:H40))))))</f>
        <v>5</v>
      </c>
      <c r="AH40" s="25">
        <f>IF(AA39=0,H40,IF(AA39&lt;L39,AVERAGE(H39:H40),IF(AA39&lt;(L39+L38),AVERAGE(H38:H40),IF(AA39&lt;SUM(L37:L39),AVERAGE(H37:H40),IF(AA39&lt;SUM(L36:L39),AVERAGE(H36:H40),AVERAGE(H35:H40))))))</f>
        <v>5</v>
      </c>
      <c r="AI40" s="2"/>
      <c r="AJ40" s="2"/>
      <c r="AK40" s="2"/>
      <c r="AL40" s="2"/>
      <c r="AM40" s="2"/>
      <c r="AN40" s="2"/>
      <c r="AO40" s="2"/>
      <c r="AP40" s="2"/>
    </row>
    <row r="41" spans="1:42" ht="15.65" customHeight="1" x14ac:dyDescent="0.35">
      <c r="A41" s="70" t="s">
        <v>20</v>
      </c>
      <c r="B41" s="131"/>
      <c r="C41" s="26">
        <f>IF($F$14="","",IF($F$14="Hourly","",IF($E$20="","",(IF($E$20="User Defined",AADT!B12,IF($E$20="Urban",AADT!E12,IF($E$20="Rural",AADT!H12,"ERR")))))))</f>
        <v>5</v>
      </c>
      <c r="D41" s="132">
        <f>IF($F$14="","",IF($F$14="Hourly","",IF($E$20="","",(IF($E$20="User Defined",AADT!C12,IF($E$20="Urban",AADT!F12,IF($E$20="Rural",AADT!I12,"ERR")))))))</f>
        <v>50</v>
      </c>
      <c r="E41" s="16">
        <f>IF($F$14="","",IF($F$14="Hourly","",IF($E$20="","",(IF($E$20="User Defined",AADT!D12,IF($E$20="Urban",AADT!G12,IF($E$20="Rural",AADT!J12,"ERR")))))))</f>
        <v>50</v>
      </c>
      <c r="F41" s="105">
        <f t="shared" si="9"/>
        <v>1250</v>
      </c>
      <c r="G41" s="108"/>
      <c r="H41" s="27">
        <f t="shared" si="0"/>
        <v>5</v>
      </c>
      <c r="I41" s="28">
        <f t="shared" si="1"/>
        <v>0.93023255813953487</v>
      </c>
      <c r="J41" s="29">
        <f t="shared" si="10"/>
        <v>1343.75</v>
      </c>
      <c r="K41" s="42"/>
      <c r="L41" s="29">
        <f t="shared" si="2"/>
        <v>1343.75</v>
      </c>
      <c r="M41" s="145">
        <v>1</v>
      </c>
      <c r="N41" s="16">
        <f t="shared" si="3"/>
        <v>1</v>
      </c>
      <c r="O41" s="45"/>
      <c r="P41" s="46"/>
      <c r="Q41" s="29">
        <f t="shared" si="4"/>
        <v>1200</v>
      </c>
      <c r="R41" s="105">
        <f t="shared" si="11"/>
        <v>0</v>
      </c>
      <c r="S41" s="27">
        <f t="shared" si="5"/>
        <v>0</v>
      </c>
      <c r="T41" s="27">
        <f t="shared" si="15"/>
        <v>0</v>
      </c>
      <c r="U41" s="29">
        <f t="shared" si="12"/>
        <v>0</v>
      </c>
      <c r="V41" s="27">
        <f t="shared" si="6"/>
        <v>0</v>
      </c>
      <c r="W41" s="27">
        <f t="shared" si="16"/>
        <v>0</v>
      </c>
      <c r="X41" s="29">
        <f t="shared" si="13"/>
        <v>143.75</v>
      </c>
      <c r="Y41" s="27">
        <f t="shared" si="7"/>
        <v>0.2722537878787879</v>
      </c>
      <c r="Z41" s="27">
        <f t="shared" si="17"/>
        <v>35.9375</v>
      </c>
      <c r="AA41" s="29">
        <f t="shared" si="14"/>
        <v>143.75</v>
      </c>
      <c r="AB41" s="27">
        <f t="shared" si="8"/>
        <v>0.2722537878787879</v>
      </c>
      <c r="AC41" s="30">
        <f t="shared" si="18"/>
        <v>35.9375</v>
      </c>
      <c r="AD41" s="24"/>
      <c r="AE41" s="25">
        <f>IF(R40=0,H41,IF(R40&lt;J40,AVERAGE(H40:H41),IF(R40&lt;(J40+J39),AVERAGE(H39:H41),IF(R40&lt;SUM(J40:J40),AVERAGE(H38:H41),IF(R40&lt;SUM(J37:J40),AVERAGE(H37:H41),IF(R40&lt;SUM(J36:J40),AVERAGE(H36:H41),AVERAGE(H35:H41)))))))</f>
        <v>5</v>
      </c>
      <c r="AF41" s="25">
        <f>IF(U40=0,H41,IF(U40&lt;L40,AVERAGE(H40:H41),IF(U40&lt;(L40+L39),AVERAGE(H39:H41),IF(U40&lt;SUM(L38:L40),AVERAGE(H38:H41),IF(U40&lt;SUM(L37:L40),AVERAGE(H37:H41),IF(U40&lt;SUM(L36:L40),AVERAGE(H36:H41),AVERAGE(H35:H41)))))))</f>
        <v>5</v>
      </c>
      <c r="AG41" s="25">
        <f>IF(X40=0,H41,IF(X40&lt;J40,AVERAGE(H40:H41),IF(X40&lt;(J40+J39),AVERAGE(H39:H41),IF(X40&lt;SUM(J38:J40),AVERAGE(H38:H41),IF(X40&lt;SUM(J37:J40),AVERAGE(H37:H41),IF(X40&lt;SUM(J36:J40),AVERAGE(H36:H41),AVERAGE(H35:H41)))))))</f>
        <v>5</v>
      </c>
      <c r="AH41" s="25">
        <f>IF(AA40=0,H41,IF(AA40&lt;L40,AVERAGE(H40:H41),IF(AA40&lt;(L40+L39),AVERAGE(H39:H41),IF(AA40&lt;SUM(L38:L40),AVERAGE(H38:H41),IF(AA40&lt;SUM(L37:L40),AVERAGE(H37:H41),IF(AA40&lt;SUM(L36:L40),AVERAGE(H36:H41),AVERAGE(H35:H41)))))))</f>
        <v>5</v>
      </c>
      <c r="AI41" s="2"/>
      <c r="AJ41" s="2"/>
      <c r="AK41" s="2"/>
      <c r="AL41" s="2"/>
      <c r="AM41" s="2"/>
      <c r="AN41" s="2"/>
      <c r="AO41" s="2"/>
      <c r="AP41" s="2"/>
    </row>
    <row r="42" spans="1:42" ht="15.65" customHeight="1" x14ac:dyDescent="0.35">
      <c r="A42" s="70" t="s">
        <v>21</v>
      </c>
      <c r="B42" s="131"/>
      <c r="C42" s="26">
        <f>IF($F$14="","",IF($F$14="Hourly","",IF($E$20="","",(IF($E$20="User Defined",AADT!B13,IF($E$20="Urban",AADT!E13,IF($E$20="Rural",AADT!H13,"ERR")))))))</f>
        <v>7.3</v>
      </c>
      <c r="D42" s="132">
        <f>IF($F$14="","",IF($F$14="Hourly","",IF($E$20="","",(IF($E$20="User Defined",AADT!C13,IF($E$20="Urban",AADT!F13,IF($E$20="Rural",AADT!I13,"ERR")))))))</f>
        <v>50</v>
      </c>
      <c r="E42" s="16">
        <f>IF($F$14="","",IF($F$14="Hourly","",IF($E$20="","",(IF($E$20="User Defined",AADT!D13,IF($E$20="Urban",AADT!G13,IF($E$20="Rural",AADT!J13,"ERR")))))))</f>
        <v>50</v>
      </c>
      <c r="F42" s="105">
        <f t="shared" si="9"/>
        <v>1824.9999999999998</v>
      </c>
      <c r="G42" s="108"/>
      <c r="H42" s="27">
        <f t="shared" si="0"/>
        <v>5</v>
      </c>
      <c r="I42" s="28">
        <f t="shared" si="1"/>
        <v>0.93023255813953487</v>
      </c>
      <c r="J42" s="29">
        <f t="shared" si="10"/>
        <v>1961.8749999999998</v>
      </c>
      <c r="K42" s="145"/>
      <c r="L42" s="29">
        <f t="shared" si="2"/>
        <v>1961.8749999999998</v>
      </c>
      <c r="M42" s="145">
        <v>1</v>
      </c>
      <c r="N42" s="16">
        <f t="shared" si="3"/>
        <v>1</v>
      </c>
      <c r="O42" s="45"/>
      <c r="P42" s="46"/>
      <c r="Q42" s="29">
        <f t="shared" si="4"/>
        <v>1200</v>
      </c>
      <c r="R42" s="105">
        <f t="shared" si="11"/>
        <v>0</v>
      </c>
      <c r="S42" s="27">
        <f t="shared" si="5"/>
        <v>0</v>
      </c>
      <c r="T42" s="27">
        <f t="shared" si="15"/>
        <v>0</v>
      </c>
      <c r="U42" s="29">
        <f t="shared" si="12"/>
        <v>0</v>
      </c>
      <c r="V42" s="27">
        <f t="shared" si="6"/>
        <v>0</v>
      </c>
      <c r="W42" s="27">
        <f t="shared" si="16"/>
        <v>0</v>
      </c>
      <c r="X42" s="29">
        <f t="shared" si="13"/>
        <v>905.625</v>
      </c>
      <c r="Y42" s="27">
        <f t="shared" si="7"/>
        <v>1.7151988636363635</v>
      </c>
      <c r="Z42" s="27">
        <f t="shared" si="17"/>
        <v>406.09375</v>
      </c>
      <c r="AA42" s="29">
        <f t="shared" si="14"/>
        <v>905.625</v>
      </c>
      <c r="AB42" s="27">
        <f t="shared" si="8"/>
        <v>1.7151988636363635</v>
      </c>
      <c r="AC42" s="30">
        <f t="shared" si="18"/>
        <v>406.09375</v>
      </c>
      <c r="AD42" s="24"/>
      <c r="AE42" s="25">
        <f>IF(R41=0,H42,IF(R41&lt;J41,AVERAGE(H41:H42),IF(R41&lt;(J41+J40),AVERAGE(H40:H42),IF(R41&lt;SUM(J40:J41),AVERAGE(H39:H42),IF(R41&lt;SUM(J38:J41),AVERAGE(H38:H42),IF(R41&lt;SUM(J37:J41),AVERAGE(H37:H42),IF(R41&lt;SUM(J36:J41),AVERAGE(H36:H42),AVERAGE(H35:H42))))))))</f>
        <v>5</v>
      </c>
      <c r="AF42" s="25">
        <f t="shared" ref="AF42:AF58" si="19">IF(U41=0,H42,IF(U41&lt;L41,AVERAGE(H41:H42),IF(U41&lt;(L41+L40),AVERAGE(H40:H42),IF(U41&lt;SUM(L39:L41),AVERAGE(H39:H42),IF(U41&lt;SUM(L38:L41),AVERAGE(H38:H42),IF(U41&lt;SUM(L37:L41),AVERAGE(H37:H42),IF(U41&lt;SUM(L36:L41),AVERAGE(H36:H42),AVERAGE(H35:H42))))))))</f>
        <v>5</v>
      </c>
      <c r="AG42" s="25">
        <f t="shared" ref="AG42:AG58" si="20">IF(X41=0,H42,IF(X41&lt;J41,AVERAGE(H41:H42),IF(X41&lt;(J41+J40),AVERAGE(H40:H42),IF(X41&lt;SUM(J39:J41),AVERAGE(H39:H42),IF(X41&lt;SUM(J38:J41),AVERAGE(H38:H42),IF(X41&lt;SUM(J37:J41),AVERAGE(H37:H42),IF(X41&lt;SUM(J36:J41),AVERAGE(H36:H42),AVERAGE(H35:H42))))))))</f>
        <v>5</v>
      </c>
      <c r="AH42" s="25">
        <f t="shared" ref="AH42:AH58" si="21">IF(AA41=0,H42,IF(AA41&lt;L41,AVERAGE(H41:H42),IF(AA41&lt;(L41+L40),AVERAGE(H40:H42),IF(AA41&lt;SUM(L39:L41),AVERAGE(H39:H42),IF(AA41&lt;SUM(L38:L41),AVERAGE(H38:H42),IF(AA41&lt;SUM(L37:L41),AVERAGE(H37:H42),IF(AA41&lt;SUM(L36:L41),AVERAGE(H36:H42),AVERAGE(H35:H42))))))))</f>
        <v>5</v>
      </c>
      <c r="AI42" s="2"/>
      <c r="AJ42" s="2"/>
      <c r="AK42" s="2"/>
      <c r="AL42" s="2"/>
      <c r="AM42" s="2"/>
      <c r="AN42" s="2"/>
      <c r="AO42" s="2"/>
      <c r="AP42" s="2"/>
    </row>
    <row r="43" spans="1:42" ht="15.65" customHeight="1" x14ac:dyDescent="0.35">
      <c r="A43" s="70" t="s">
        <v>22</v>
      </c>
      <c r="B43" s="131"/>
      <c r="C43" s="26">
        <f>IF($F$14="","",IF($F$14="Hourly","",IF($E$20="","",(IF($E$20="User Defined",AADT!B14,IF($E$20="Urban",AADT!E14,IF($E$20="Rural",AADT!H14,"ERR")))))))</f>
        <v>6.3</v>
      </c>
      <c r="D43" s="132">
        <f>IF($F$14="","",IF($F$14="Hourly","",IF($E$20="","",(IF($E$20="User Defined",AADT!C14,IF($E$20="Urban",AADT!F14,IF($E$20="Rural",AADT!I14,"ERR")))))))</f>
        <v>50</v>
      </c>
      <c r="E43" s="16">
        <f>IF($F$14="","",IF($F$14="Hourly","",IF($E$20="","",(IF($E$20="User Defined",AADT!D14,IF($E$20="Urban",AADT!G14,IF($E$20="Rural",AADT!J14,"ERR")))))))</f>
        <v>50</v>
      </c>
      <c r="F43" s="105">
        <f t="shared" si="9"/>
        <v>1575</v>
      </c>
      <c r="G43" s="108"/>
      <c r="H43" s="27">
        <f t="shared" si="0"/>
        <v>5</v>
      </c>
      <c r="I43" s="28">
        <f t="shared" si="1"/>
        <v>0.93023255813953487</v>
      </c>
      <c r="J43" s="29">
        <f t="shared" si="10"/>
        <v>1693.125</v>
      </c>
      <c r="K43" s="42"/>
      <c r="L43" s="29">
        <f t="shared" si="2"/>
        <v>1693.125</v>
      </c>
      <c r="M43" s="145">
        <v>1</v>
      </c>
      <c r="N43" s="16">
        <f t="shared" si="3"/>
        <v>1</v>
      </c>
      <c r="O43" s="45"/>
      <c r="P43" s="46"/>
      <c r="Q43" s="29">
        <f t="shared" si="4"/>
        <v>1200</v>
      </c>
      <c r="R43" s="105">
        <f t="shared" si="11"/>
        <v>0</v>
      </c>
      <c r="S43" s="27">
        <f t="shared" si="5"/>
        <v>0</v>
      </c>
      <c r="T43" s="27">
        <f t="shared" si="15"/>
        <v>0</v>
      </c>
      <c r="U43" s="29">
        <f t="shared" si="12"/>
        <v>0</v>
      </c>
      <c r="V43" s="27">
        <f t="shared" si="6"/>
        <v>0</v>
      </c>
      <c r="W43" s="27">
        <f t="shared" si="16"/>
        <v>0</v>
      </c>
      <c r="X43" s="29">
        <f t="shared" si="13"/>
        <v>1398.75</v>
      </c>
      <c r="Y43" s="27">
        <f t="shared" si="7"/>
        <v>2.6491477272727271</v>
      </c>
      <c r="Z43" s="27">
        <f t="shared" si="17"/>
        <v>1481.71875</v>
      </c>
      <c r="AA43" s="29">
        <f t="shared" si="14"/>
        <v>1398.75</v>
      </c>
      <c r="AB43" s="27">
        <f t="shared" si="8"/>
        <v>2.6491477272727271</v>
      </c>
      <c r="AC43" s="30">
        <f t="shared" si="18"/>
        <v>1481.71875</v>
      </c>
      <c r="AD43" s="24"/>
      <c r="AE43" s="25">
        <f>IF(R42=0,H43,IF(R42&lt;J42,AVERAGE(H42:H43),IF(R42&lt;(J42+J41),AVERAGE(H41:H43),IF(R42&lt;SUM(J40:J42),AVERAGE(H40:H43),IF(R42&lt;SUM(J39:J42),AVERAGE(H39:H43),IF(R42&lt;SUM(J38:J42),AVERAGE(H38:H43),IF(R42&lt;SUM(J37:J42),AVERAGE(H37:H43),AVERAGE(H36:H43))))))))</f>
        <v>5</v>
      </c>
      <c r="AF43" s="25">
        <f t="shared" si="19"/>
        <v>5</v>
      </c>
      <c r="AG43" s="25">
        <f t="shared" si="20"/>
        <v>5</v>
      </c>
      <c r="AH43" s="25">
        <f t="shared" si="21"/>
        <v>5</v>
      </c>
      <c r="AI43" s="2"/>
      <c r="AJ43" s="2"/>
      <c r="AK43" s="2"/>
      <c r="AL43" s="2"/>
      <c r="AM43" s="2"/>
      <c r="AN43" s="2"/>
      <c r="AO43" s="2"/>
      <c r="AP43" s="2"/>
    </row>
    <row r="44" spans="1:42" ht="15.65" customHeight="1" x14ac:dyDescent="0.35">
      <c r="A44" s="70" t="s">
        <v>23</v>
      </c>
      <c r="B44" s="131"/>
      <c r="C44" s="26">
        <f>IF($F$14="","",IF($F$14="Hourly","",IF($E$20="","",(IF($E$20="User Defined",AADT!B15,IF($E$20="Urban",AADT!E15,IF($E$20="Rural",AADT!H15,"ERR")))))))</f>
        <v>5.0999999999999996</v>
      </c>
      <c r="D44" s="132">
        <f>IF($F$14="","",IF($F$14="Hourly","",IF($E$20="","",(IF($E$20="User Defined",AADT!C15,IF($E$20="Urban",AADT!F15,IF($E$20="Rural",AADT!I15,"ERR")))))))</f>
        <v>50</v>
      </c>
      <c r="E44" s="16">
        <f>IF($F$14="","",IF($F$14="Hourly","",IF($E$20="","",(IF($E$20="User Defined",AADT!D15,IF($E$20="Urban",AADT!G15,IF($E$20="Rural",AADT!J15,"ERR")))))))</f>
        <v>50</v>
      </c>
      <c r="F44" s="105">
        <f t="shared" si="9"/>
        <v>1275</v>
      </c>
      <c r="G44" s="108"/>
      <c r="H44" s="27">
        <f t="shared" si="0"/>
        <v>5</v>
      </c>
      <c r="I44" s="28">
        <f t="shared" si="1"/>
        <v>0.93023255813953487</v>
      </c>
      <c r="J44" s="29">
        <f t="shared" si="10"/>
        <v>1370.625</v>
      </c>
      <c r="K44" s="145"/>
      <c r="L44" s="29">
        <f t="shared" si="2"/>
        <v>1370.625</v>
      </c>
      <c r="M44" s="145">
        <v>1</v>
      </c>
      <c r="N44" s="16">
        <f t="shared" si="3"/>
        <v>1</v>
      </c>
      <c r="O44" s="45"/>
      <c r="P44" s="46"/>
      <c r="Q44" s="29">
        <f t="shared" si="4"/>
        <v>1200</v>
      </c>
      <c r="R44" s="105">
        <f t="shared" si="11"/>
        <v>0</v>
      </c>
      <c r="S44" s="27">
        <f t="shared" si="5"/>
        <v>0</v>
      </c>
      <c r="T44" s="27">
        <f t="shared" si="15"/>
        <v>0</v>
      </c>
      <c r="U44" s="29">
        <f t="shared" si="12"/>
        <v>0</v>
      </c>
      <c r="V44" s="27">
        <f t="shared" si="6"/>
        <v>0</v>
      </c>
      <c r="W44" s="27">
        <f t="shared" si="16"/>
        <v>0</v>
      </c>
      <c r="X44" s="29">
        <f t="shared" si="13"/>
        <v>1569.375</v>
      </c>
      <c r="Y44" s="27">
        <f t="shared" si="7"/>
        <v>2.9723011363636362</v>
      </c>
      <c r="Z44" s="27">
        <f t="shared" si="17"/>
        <v>2140.78125</v>
      </c>
      <c r="AA44" s="29">
        <f t="shared" si="14"/>
        <v>1569.375</v>
      </c>
      <c r="AB44" s="27">
        <f t="shared" si="8"/>
        <v>2.9723011363636362</v>
      </c>
      <c r="AC44" s="30">
        <f t="shared" si="18"/>
        <v>2140.78125</v>
      </c>
      <c r="AD44" s="24"/>
      <c r="AE44" s="25">
        <f>IF(R43=0,H44,IF(R43&lt;J43,AVERAGE(H43:H44),IF(R43&lt;(J43+J42),AVERAGE(H42:H44),IF(R43&lt;SUM(J40:J43),AVERAGE(H41:H44),IF(R43&lt;SUM(J40:J43),AVERAGE(H40:H44),IF(R43&lt;SUM(J39:J43),AVERAGE(H39:H44),IF(R43&lt;SUM(J38:J43),AVERAGE(H38:H44),AVERAGE(H37:H44))))))))</f>
        <v>5</v>
      </c>
      <c r="AF44" s="25">
        <f t="shared" si="19"/>
        <v>5</v>
      </c>
      <c r="AG44" s="25">
        <f t="shared" si="20"/>
        <v>5</v>
      </c>
      <c r="AH44" s="25">
        <f t="shared" si="21"/>
        <v>5</v>
      </c>
      <c r="AI44" s="2"/>
      <c r="AJ44" s="2"/>
      <c r="AK44" s="2"/>
      <c r="AL44" s="2"/>
      <c r="AM44" s="2"/>
      <c r="AN44" s="2"/>
      <c r="AO44" s="2"/>
      <c r="AP44" s="2"/>
    </row>
    <row r="45" spans="1:42" ht="15.65" customHeight="1" x14ac:dyDescent="0.35">
      <c r="A45" s="70" t="s">
        <v>24</v>
      </c>
      <c r="B45" s="131"/>
      <c r="C45" s="26">
        <f>IF($F$14="","",IF($F$14="Hourly","",IF($E$20="","",(IF($E$20="User Defined",AADT!B16,IF($E$20="Urban",AADT!E16,IF($E$20="Rural",AADT!H16,"ERR")))))))</f>
        <v>4.9000000000000004</v>
      </c>
      <c r="D45" s="132">
        <f>IF($F$14="","",IF($F$14="Hourly","",IF($E$20="","",(IF($E$20="User Defined",AADT!C16,IF($E$20="Urban",AADT!F16,IF($E$20="Rural",AADT!I16,"ERR")))))))</f>
        <v>50</v>
      </c>
      <c r="E45" s="16">
        <f>IF($F$14="","",IF($F$14="Hourly","",IF($E$20="","",(IF($E$20="User Defined",AADT!D16,IF($E$20="Urban",AADT!G16,IF($E$20="Rural",AADT!J16,"ERR")))))))</f>
        <v>50</v>
      </c>
      <c r="F45" s="105">
        <f t="shared" si="9"/>
        <v>1225</v>
      </c>
      <c r="G45" s="108"/>
      <c r="H45" s="27">
        <f t="shared" si="0"/>
        <v>5</v>
      </c>
      <c r="I45" s="28">
        <f t="shared" si="1"/>
        <v>0.93023255813953487</v>
      </c>
      <c r="J45" s="29">
        <f t="shared" si="10"/>
        <v>1316.875</v>
      </c>
      <c r="K45" s="42"/>
      <c r="L45" s="29">
        <f t="shared" si="2"/>
        <v>1316.875</v>
      </c>
      <c r="M45" s="145">
        <v>1</v>
      </c>
      <c r="N45" s="16">
        <f t="shared" si="3"/>
        <v>1</v>
      </c>
      <c r="O45" s="45"/>
      <c r="P45" s="46"/>
      <c r="Q45" s="29">
        <f t="shared" si="4"/>
        <v>1200</v>
      </c>
      <c r="R45" s="105">
        <f t="shared" si="11"/>
        <v>0</v>
      </c>
      <c r="S45" s="27">
        <f t="shared" si="5"/>
        <v>0</v>
      </c>
      <c r="T45" s="27">
        <f t="shared" si="15"/>
        <v>0</v>
      </c>
      <c r="U45" s="29">
        <f t="shared" si="12"/>
        <v>0</v>
      </c>
      <c r="V45" s="27">
        <f t="shared" si="6"/>
        <v>0</v>
      </c>
      <c r="W45" s="27">
        <f t="shared" si="16"/>
        <v>0</v>
      </c>
      <c r="X45" s="29">
        <f t="shared" si="13"/>
        <v>1686.25</v>
      </c>
      <c r="Y45" s="27">
        <f t="shared" si="7"/>
        <v>3.1936553030303032</v>
      </c>
      <c r="Z45" s="27">
        <f t="shared" si="17"/>
        <v>2383.28125</v>
      </c>
      <c r="AA45" s="29">
        <f t="shared" si="14"/>
        <v>1686.25</v>
      </c>
      <c r="AB45" s="27">
        <f t="shared" si="8"/>
        <v>3.1936553030303032</v>
      </c>
      <c r="AC45" s="30">
        <f t="shared" si="18"/>
        <v>2383.28125</v>
      </c>
      <c r="AD45" s="24"/>
      <c r="AE45" s="25">
        <f>IF(R44=0,H45,IF(R44&lt;J44,AVERAGE(H44:H45),IF(R44&lt;(J44+J43),AVERAGE(H43:H45),IF(R44&lt;SUM(J40:J44),AVERAGE(H42:H45),IF(R44&lt;SUM(J41:J44),AVERAGE(H41:H45),IF(R44&lt;SUM(J40:J44),AVERAGE(H40:H45),IF(R44&lt;SUM(J39:J44),AVERAGE(H39:H45),AVERAGE(H38:H45))))))))</f>
        <v>5</v>
      </c>
      <c r="AF45" s="25">
        <f t="shared" si="19"/>
        <v>5</v>
      </c>
      <c r="AG45" s="25">
        <f t="shared" si="20"/>
        <v>5</v>
      </c>
      <c r="AH45" s="25">
        <f t="shared" si="21"/>
        <v>5</v>
      </c>
      <c r="AI45" s="2"/>
      <c r="AJ45" s="2"/>
      <c r="AK45" s="2"/>
      <c r="AL45" s="2"/>
      <c r="AM45" s="2"/>
      <c r="AN45" s="2"/>
      <c r="AO45" s="2"/>
      <c r="AP45" s="2"/>
    </row>
    <row r="46" spans="1:42" ht="15.65" customHeight="1" x14ac:dyDescent="0.35">
      <c r="A46" s="70" t="s">
        <v>25</v>
      </c>
      <c r="B46" s="131"/>
      <c r="C46" s="26">
        <f>IF($F$14="","",IF($F$14="Hourly","",IF($E$20="","",(IF($E$20="User Defined",AADT!B17,IF($E$20="Urban",AADT!E17,IF($E$20="Rural",AADT!H17,"ERR")))))))</f>
        <v>5.2</v>
      </c>
      <c r="D46" s="132">
        <f>IF($F$14="","",IF($F$14="Hourly","",IF($E$20="","",(IF($E$20="User Defined",AADT!C17,IF($E$20="Urban",AADT!F17,IF($E$20="Rural",AADT!I17,"ERR")))))))</f>
        <v>50</v>
      </c>
      <c r="E46" s="16">
        <f>IF($F$14="","",IF($F$14="Hourly","",IF($E$20="","",(IF($E$20="User Defined",AADT!D17,IF($E$20="Urban",AADT!G17,IF($E$20="Rural",AADT!J17,"ERR")))))))</f>
        <v>50</v>
      </c>
      <c r="F46" s="105">
        <f t="shared" si="9"/>
        <v>1300.0000000000002</v>
      </c>
      <c r="G46" s="108"/>
      <c r="H46" s="27">
        <f t="shared" si="0"/>
        <v>5</v>
      </c>
      <c r="I46" s="28">
        <f t="shared" si="1"/>
        <v>0.93023255813953487</v>
      </c>
      <c r="J46" s="29">
        <f t="shared" si="10"/>
        <v>1397.5000000000002</v>
      </c>
      <c r="K46" s="145"/>
      <c r="L46" s="29">
        <f t="shared" si="2"/>
        <v>1397.5000000000002</v>
      </c>
      <c r="M46" s="145">
        <v>1</v>
      </c>
      <c r="N46" s="16">
        <f t="shared" si="3"/>
        <v>1</v>
      </c>
      <c r="O46" s="45"/>
      <c r="P46" s="46"/>
      <c r="Q46" s="29">
        <f t="shared" si="4"/>
        <v>1200</v>
      </c>
      <c r="R46" s="105">
        <f t="shared" si="11"/>
        <v>0</v>
      </c>
      <c r="S46" s="27">
        <f t="shared" si="5"/>
        <v>0</v>
      </c>
      <c r="T46" s="27">
        <f t="shared" si="15"/>
        <v>0</v>
      </c>
      <c r="U46" s="29">
        <f t="shared" si="12"/>
        <v>0</v>
      </c>
      <c r="V46" s="27">
        <f t="shared" si="6"/>
        <v>0</v>
      </c>
      <c r="W46" s="27">
        <f t="shared" si="16"/>
        <v>0</v>
      </c>
      <c r="X46" s="29">
        <f t="shared" si="13"/>
        <v>1883.75</v>
      </c>
      <c r="Y46" s="27">
        <f t="shared" si="7"/>
        <v>3.5677083333333335</v>
      </c>
      <c r="Z46" s="27">
        <f t="shared" si="17"/>
        <v>2578.75</v>
      </c>
      <c r="AA46" s="29">
        <f t="shared" si="14"/>
        <v>1883.75</v>
      </c>
      <c r="AB46" s="27">
        <f t="shared" si="8"/>
        <v>3.5677083333333335</v>
      </c>
      <c r="AC46" s="30">
        <f t="shared" si="18"/>
        <v>2578.75</v>
      </c>
      <c r="AD46" s="24"/>
      <c r="AE46" s="25">
        <f>IF(R45=0,H46,IF(R45&lt;J45,AVERAGE(H45:H46),IF(R45&lt;(J45+J44),AVERAGE(H44:H46),IF(R45&lt;SUM(J40:J45),AVERAGE(H43:H46),IF(R45&lt;SUM(J42:J45),AVERAGE(H42:H46),IF(R45&lt;SUM(J41:J45),AVERAGE(H41:H46),IF(R45&lt;SUM(J40:J45),AVERAGE(H40:H46),AVERAGE(H39:H46))))))))</f>
        <v>5</v>
      </c>
      <c r="AF46" s="25">
        <f t="shared" si="19"/>
        <v>5</v>
      </c>
      <c r="AG46" s="25">
        <f t="shared" si="20"/>
        <v>5</v>
      </c>
      <c r="AH46" s="25">
        <f t="shared" si="21"/>
        <v>5</v>
      </c>
      <c r="AI46" s="2"/>
      <c r="AJ46" s="2"/>
      <c r="AK46" s="2"/>
      <c r="AL46" s="2"/>
      <c r="AM46" s="2"/>
      <c r="AN46" s="2"/>
      <c r="AO46" s="2"/>
      <c r="AP46" s="2"/>
    </row>
    <row r="47" spans="1:42" ht="15.65" customHeight="1" x14ac:dyDescent="0.35">
      <c r="A47" s="70" t="s">
        <v>26</v>
      </c>
      <c r="B47" s="131"/>
      <c r="C47" s="26">
        <f>IF($F$14="","",IF($F$14="Hourly","",IF($E$20="","",(IF($E$20="User Defined",AADT!B18,IF($E$20="Urban",AADT!E18,IF($E$20="Rural",AADT!H18,"ERR")))))))</f>
        <v>5.5</v>
      </c>
      <c r="D47" s="132">
        <f>IF($F$14="","",IF($F$14="Hourly","",IF($E$20="","",(IF($E$20="User Defined",AADT!C18,IF($E$20="Urban",AADT!F18,IF($E$20="Rural",AADT!I18,"ERR")))))))</f>
        <v>50</v>
      </c>
      <c r="E47" s="16">
        <f>IF($F$14="","",IF($F$14="Hourly","",IF($E$20="","",(IF($E$20="User Defined",AADT!D18,IF($E$20="Urban",AADT!G18,IF($E$20="Rural",AADT!J18,"ERR")))))))</f>
        <v>50</v>
      </c>
      <c r="F47" s="105">
        <f t="shared" si="9"/>
        <v>1375</v>
      </c>
      <c r="G47" s="108"/>
      <c r="H47" s="27">
        <f t="shared" si="0"/>
        <v>5</v>
      </c>
      <c r="I47" s="28">
        <f t="shared" si="1"/>
        <v>0.93023255813953487</v>
      </c>
      <c r="J47" s="29">
        <f t="shared" si="10"/>
        <v>1478.125</v>
      </c>
      <c r="K47" s="42"/>
      <c r="L47" s="29">
        <f t="shared" si="2"/>
        <v>1478.125</v>
      </c>
      <c r="M47" s="145">
        <v>1</v>
      </c>
      <c r="N47" s="16">
        <f t="shared" si="3"/>
        <v>1</v>
      </c>
      <c r="O47" s="45"/>
      <c r="P47" s="46"/>
      <c r="Q47" s="29">
        <f t="shared" si="4"/>
        <v>1200</v>
      </c>
      <c r="R47" s="105">
        <f t="shared" si="11"/>
        <v>0</v>
      </c>
      <c r="S47" s="27">
        <f t="shared" si="5"/>
        <v>0</v>
      </c>
      <c r="T47" s="27">
        <f t="shared" si="15"/>
        <v>0</v>
      </c>
      <c r="U47" s="29">
        <f t="shared" si="12"/>
        <v>0</v>
      </c>
      <c r="V47" s="27">
        <f t="shared" si="6"/>
        <v>0</v>
      </c>
      <c r="W47" s="27">
        <f t="shared" si="16"/>
        <v>0</v>
      </c>
      <c r="X47" s="29">
        <f t="shared" si="13"/>
        <v>2161.875</v>
      </c>
      <c r="Y47" s="27">
        <f t="shared" si="7"/>
        <v>4.0944602272727275</v>
      </c>
      <c r="Z47" s="27">
        <f t="shared" si="17"/>
        <v>2895.15625</v>
      </c>
      <c r="AA47" s="29">
        <f t="shared" si="14"/>
        <v>2161.875</v>
      </c>
      <c r="AB47" s="27">
        <f t="shared" si="8"/>
        <v>4.0944602272727275</v>
      </c>
      <c r="AC47" s="30">
        <f t="shared" si="18"/>
        <v>2895.15625</v>
      </c>
      <c r="AD47" s="24"/>
      <c r="AE47" s="25">
        <f>IF(R46=0,H47,IF(R46&lt;J46,AVERAGE(H46:H47),IF(R46&lt;(J46+J45),AVERAGE(H45:H47),IF(R46&lt;SUM(J40:J46),AVERAGE(H44:H47),IF(R46&lt;SUM(J43:J46),AVERAGE(H43:H47),IF(R46&lt;SUM(J42:J46),AVERAGE(H42:H47),IF(R46&lt;SUM(J41:J46),AVERAGE(H41:H47),AVERAGE(H40:H47))))))))</f>
        <v>5</v>
      </c>
      <c r="AF47" s="25">
        <f t="shared" si="19"/>
        <v>5</v>
      </c>
      <c r="AG47" s="25">
        <f t="shared" si="20"/>
        <v>5</v>
      </c>
      <c r="AH47" s="25">
        <f t="shared" si="21"/>
        <v>5</v>
      </c>
      <c r="AI47" s="2"/>
      <c r="AJ47" s="2"/>
      <c r="AK47" s="2"/>
      <c r="AL47" s="2"/>
      <c r="AM47" s="2"/>
      <c r="AN47" s="2"/>
      <c r="AO47" s="2"/>
      <c r="AP47" s="2"/>
    </row>
    <row r="48" spans="1:42" ht="15.65" customHeight="1" x14ac:dyDescent="0.35">
      <c r="A48" s="70" t="s">
        <v>27</v>
      </c>
      <c r="B48" s="131"/>
      <c r="C48" s="26">
        <f>IF($F$14="","",IF($F$14="Hourly","",IF($E$20="","",(IF($E$20="User Defined",AADT!B19,IF($E$20="Urban",AADT!E19,IF($E$20="Rural",AADT!H19,"ERR")))))))</f>
        <v>5.6</v>
      </c>
      <c r="D48" s="132">
        <f>IF($F$14="","",IF($F$14="Hourly","",IF($E$20="","",(IF($E$20="User Defined",AADT!C19,IF($E$20="Urban",AADT!F19,IF($E$20="Rural",AADT!I19,"ERR")))))))</f>
        <v>50</v>
      </c>
      <c r="E48" s="16">
        <f>IF($F$14="","",IF($F$14="Hourly","",IF($E$20="","",(IF($E$20="User Defined",AADT!D19,IF($E$20="Urban",AADT!G19,IF($E$20="Rural",AADT!J19,"ERR")))))))</f>
        <v>50</v>
      </c>
      <c r="F48" s="105">
        <f t="shared" si="9"/>
        <v>1399.9999999999998</v>
      </c>
      <c r="G48" s="108"/>
      <c r="H48" s="27">
        <f t="shared" si="0"/>
        <v>5</v>
      </c>
      <c r="I48" s="28">
        <f t="shared" si="1"/>
        <v>0.93023255813953487</v>
      </c>
      <c r="J48" s="29">
        <f t="shared" si="10"/>
        <v>1504.9999999999998</v>
      </c>
      <c r="K48" s="145"/>
      <c r="L48" s="29">
        <f t="shared" si="2"/>
        <v>1504.9999999999998</v>
      </c>
      <c r="M48" s="145">
        <v>1</v>
      </c>
      <c r="N48" s="16">
        <f t="shared" si="3"/>
        <v>1</v>
      </c>
      <c r="O48" s="45"/>
      <c r="P48" s="46"/>
      <c r="Q48" s="29">
        <f t="shared" si="4"/>
        <v>1200</v>
      </c>
      <c r="R48" s="105">
        <f t="shared" si="11"/>
        <v>0</v>
      </c>
      <c r="S48" s="27">
        <f t="shared" si="5"/>
        <v>0</v>
      </c>
      <c r="T48" s="27">
        <f t="shared" si="15"/>
        <v>0</v>
      </c>
      <c r="U48" s="29">
        <f t="shared" si="12"/>
        <v>0</v>
      </c>
      <c r="V48" s="27">
        <f t="shared" si="6"/>
        <v>0</v>
      </c>
      <c r="W48" s="27">
        <f t="shared" si="16"/>
        <v>0</v>
      </c>
      <c r="X48" s="29">
        <f t="shared" si="13"/>
        <v>2466.875</v>
      </c>
      <c r="Y48" s="27">
        <f t="shared" si="7"/>
        <v>4.6721117424242422</v>
      </c>
      <c r="Z48" s="27">
        <f t="shared" si="17"/>
        <v>3319.0625</v>
      </c>
      <c r="AA48" s="29">
        <f t="shared" si="14"/>
        <v>2466.875</v>
      </c>
      <c r="AB48" s="27">
        <f t="shared" si="8"/>
        <v>4.6721117424242422</v>
      </c>
      <c r="AC48" s="30">
        <f t="shared" si="18"/>
        <v>3319.0625</v>
      </c>
      <c r="AD48" s="24"/>
      <c r="AE48" s="25">
        <f>IF(R47=0,H48,IF(R47&lt;J47,AVERAGE(H47:H48),IF(R47&lt;(J47+J46),AVERAGE(H46:H48),IF(R47&lt;SUM(J40:J47),AVERAGE(H45:H48),IF(R47&lt;SUM(J44:J47),AVERAGE(H44:H48),IF(R47&lt;SUM(J43:J47),AVERAGE(H43:H48),IF(R47&lt;SUM(J42:J47),AVERAGE(H42:H48),AVERAGE(H41:H48))))))))</f>
        <v>5</v>
      </c>
      <c r="AF48" s="25">
        <f t="shared" si="19"/>
        <v>5</v>
      </c>
      <c r="AG48" s="25">
        <f t="shared" si="20"/>
        <v>5</v>
      </c>
      <c r="AH48" s="25">
        <f t="shared" si="21"/>
        <v>5</v>
      </c>
      <c r="AI48" s="2"/>
      <c r="AJ48" s="2"/>
      <c r="AK48" s="2"/>
      <c r="AL48" s="2"/>
      <c r="AM48" s="2"/>
      <c r="AN48" s="2"/>
      <c r="AO48" s="2"/>
      <c r="AP48" s="2"/>
    </row>
    <row r="49" spans="1:42" ht="15.65" customHeight="1" x14ac:dyDescent="0.35">
      <c r="A49" s="70" t="s">
        <v>28</v>
      </c>
      <c r="B49" s="131"/>
      <c r="C49" s="26">
        <f>IF($F$14="","",IF($F$14="Hourly","",IF($E$20="","",(IF($E$20="User Defined",AADT!B20,IF($E$20="Urban",AADT!E20,IF($E$20="Rural",AADT!H20,"ERR")))))))</f>
        <v>6.3</v>
      </c>
      <c r="D49" s="132">
        <f>IF($F$14="","",IF($F$14="Hourly","",IF($E$20="","",(IF($E$20="User Defined",AADT!C20,IF($E$20="Urban",AADT!F20,IF($E$20="Rural",AADT!I20,"ERR")))))))</f>
        <v>50</v>
      </c>
      <c r="E49" s="16">
        <f>IF($F$14="","",IF($F$14="Hourly","",IF($E$20="","",(IF($E$20="User Defined",AADT!D20,IF($E$20="Urban",AADT!G20,IF($E$20="Rural",AADT!J20,"ERR")))))))</f>
        <v>50</v>
      </c>
      <c r="F49" s="105">
        <f t="shared" si="9"/>
        <v>1575</v>
      </c>
      <c r="G49" s="108"/>
      <c r="H49" s="27">
        <f t="shared" si="0"/>
        <v>5</v>
      </c>
      <c r="I49" s="28">
        <f t="shared" si="1"/>
        <v>0.93023255813953487</v>
      </c>
      <c r="J49" s="29">
        <f t="shared" si="10"/>
        <v>1693.125</v>
      </c>
      <c r="K49" s="42"/>
      <c r="L49" s="29">
        <f t="shared" si="2"/>
        <v>1693.125</v>
      </c>
      <c r="M49" s="145">
        <v>1</v>
      </c>
      <c r="N49" s="16">
        <f t="shared" si="3"/>
        <v>1</v>
      </c>
      <c r="O49" s="45"/>
      <c r="P49" s="46"/>
      <c r="Q49" s="29">
        <f t="shared" si="4"/>
        <v>1200</v>
      </c>
      <c r="R49" s="105">
        <f t="shared" si="11"/>
        <v>0</v>
      </c>
      <c r="S49" s="27">
        <f t="shared" si="5"/>
        <v>0</v>
      </c>
      <c r="T49" s="27">
        <f t="shared" si="15"/>
        <v>0</v>
      </c>
      <c r="U49" s="29">
        <f t="shared" si="12"/>
        <v>0</v>
      </c>
      <c r="V49" s="27">
        <f t="shared" si="6"/>
        <v>0</v>
      </c>
      <c r="W49" s="27">
        <f t="shared" si="16"/>
        <v>0</v>
      </c>
      <c r="X49" s="29">
        <f t="shared" si="13"/>
        <v>2960</v>
      </c>
      <c r="Y49" s="27">
        <f t="shared" si="7"/>
        <v>5.6060606060606064</v>
      </c>
      <c r="Z49" s="27">
        <f t="shared" si="17"/>
        <v>3823.59375</v>
      </c>
      <c r="AA49" s="29">
        <f t="shared" si="14"/>
        <v>2960</v>
      </c>
      <c r="AB49" s="27">
        <f t="shared" si="8"/>
        <v>5.6060606060606064</v>
      </c>
      <c r="AC49" s="30">
        <f t="shared" si="18"/>
        <v>3823.59375</v>
      </c>
      <c r="AD49" s="24"/>
      <c r="AE49" s="25">
        <f>IF(R48=0,H49,IF(R48&lt;J48,AVERAGE(H48:H49),IF(R48&lt;(J48+J47),AVERAGE(H47:H49),IF(R48&lt;SUM(J40:J48),AVERAGE(H46:H49),IF(R48&lt;SUM(J45:J48),AVERAGE(H45:H49),IF(R48&lt;SUM(J44:J48),AVERAGE(H44:H49),IF(R48&lt;SUM(J43:J48),AVERAGE(H43:H49),AVERAGE(H42:H49))))))))</f>
        <v>5</v>
      </c>
      <c r="AF49" s="25">
        <f t="shared" si="19"/>
        <v>5</v>
      </c>
      <c r="AG49" s="25">
        <f t="shared" si="20"/>
        <v>5</v>
      </c>
      <c r="AH49" s="25">
        <f t="shared" si="21"/>
        <v>5</v>
      </c>
      <c r="AI49" s="2"/>
      <c r="AJ49" s="2"/>
      <c r="AK49" s="2"/>
      <c r="AL49" s="2"/>
      <c r="AM49" s="2"/>
      <c r="AN49" s="2"/>
      <c r="AO49" s="2"/>
      <c r="AP49" s="2"/>
    </row>
    <row r="50" spans="1:42" ht="15.65" customHeight="1" x14ac:dyDescent="0.35">
      <c r="A50" s="70" t="s">
        <v>29</v>
      </c>
      <c r="B50" s="131"/>
      <c r="C50" s="26">
        <f>IF($F$14="","",IF($F$14="Hourly","",IF($E$20="","",(IF($E$20="User Defined",AADT!B21,IF($E$20="Urban",AADT!E21,IF($E$20="Rural",AADT!H21,"ERR")))))))</f>
        <v>7.3</v>
      </c>
      <c r="D50" s="132">
        <f>IF($F$14="","",IF($F$14="Hourly","",IF($E$20="","",(IF($E$20="User Defined",AADT!C21,IF($E$20="Urban",AADT!F21,IF($E$20="Rural",AADT!I21,"ERR")))))))</f>
        <v>50</v>
      </c>
      <c r="E50" s="16">
        <f>IF($F$14="","",IF($F$14="Hourly","",IF($E$20="","",(IF($E$20="User Defined",AADT!D21,IF($E$20="Urban",AADT!G21,IF($E$20="Rural",AADT!J21,"ERR")))))))</f>
        <v>50</v>
      </c>
      <c r="F50" s="105">
        <f t="shared" si="9"/>
        <v>1824.9999999999998</v>
      </c>
      <c r="G50" s="108"/>
      <c r="H50" s="27">
        <f t="shared" si="0"/>
        <v>5</v>
      </c>
      <c r="I50" s="28">
        <f t="shared" si="1"/>
        <v>0.93023255813953487</v>
      </c>
      <c r="J50" s="29">
        <f t="shared" si="10"/>
        <v>1961.8749999999998</v>
      </c>
      <c r="K50" s="145"/>
      <c r="L50" s="29">
        <f t="shared" si="2"/>
        <v>1961.8749999999998</v>
      </c>
      <c r="M50" s="145">
        <v>1</v>
      </c>
      <c r="N50" s="16">
        <f t="shared" si="3"/>
        <v>1</v>
      </c>
      <c r="O50" s="45"/>
      <c r="P50" s="46"/>
      <c r="Q50" s="29">
        <f t="shared" si="4"/>
        <v>1200</v>
      </c>
      <c r="R50" s="105">
        <f t="shared" si="11"/>
        <v>0</v>
      </c>
      <c r="S50" s="27">
        <f t="shared" si="5"/>
        <v>0</v>
      </c>
      <c r="T50" s="27">
        <f t="shared" si="15"/>
        <v>0</v>
      </c>
      <c r="U50" s="29">
        <f t="shared" si="12"/>
        <v>0</v>
      </c>
      <c r="V50" s="27">
        <f t="shared" si="6"/>
        <v>0</v>
      </c>
      <c r="W50" s="27">
        <f t="shared" si="16"/>
        <v>0</v>
      </c>
      <c r="X50" s="29">
        <f t="shared" si="13"/>
        <v>3721.875</v>
      </c>
      <c r="Y50" s="27">
        <f t="shared" si="7"/>
        <v>7.0490056818181817</v>
      </c>
      <c r="Z50" s="27">
        <f t="shared" si="17"/>
        <v>4630.46875</v>
      </c>
      <c r="AA50" s="29">
        <f t="shared" si="14"/>
        <v>3721.875</v>
      </c>
      <c r="AB50" s="27">
        <f t="shared" si="8"/>
        <v>7.0490056818181817</v>
      </c>
      <c r="AC50" s="30">
        <f t="shared" si="18"/>
        <v>4630.46875</v>
      </c>
      <c r="AD50" s="24"/>
      <c r="AE50" s="25">
        <f>IF(R49=0,H50,IF(R49&lt;J49,AVERAGE(H49:H50),IF(R49&lt;(J49+J48),AVERAGE(H48:H50),IF(R49&lt;SUM(J40:J49),AVERAGE(H47:H50),IF(R49&lt;SUM(J46:J49),AVERAGE(H46:H50),IF(R49&lt;SUM(J45:J49),AVERAGE(H45:H50),IF(R49&lt;SUM(J44:J49),AVERAGE(H44:H50),AVERAGE(H43:H50))))))))</f>
        <v>5</v>
      </c>
      <c r="AF50" s="25">
        <f t="shared" si="19"/>
        <v>5</v>
      </c>
      <c r="AG50" s="25">
        <f t="shared" si="20"/>
        <v>5</v>
      </c>
      <c r="AH50" s="25">
        <f t="shared" si="21"/>
        <v>5</v>
      </c>
      <c r="AI50" s="2"/>
      <c r="AJ50" s="2"/>
      <c r="AK50" s="2"/>
      <c r="AL50" s="2"/>
      <c r="AM50" s="2"/>
      <c r="AN50" s="2"/>
      <c r="AO50" s="2"/>
      <c r="AP50" s="2"/>
    </row>
    <row r="51" spans="1:42" ht="15.65" customHeight="1" x14ac:dyDescent="0.35">
      <c r="A51" s="70" t="s">
        <v>30</v>
      </c>
      <c r="B51" s="131"/>
      <c r="C51" s="26">
        <f>IF($F$14="","",IF($F$14="Hourly","",IF($E$20="","",(IF($E$20="User Defined",AADT!B22,IF($E$20="Urban",AADT!E22,IF($E$20="Rural",AADT!H22,"ERR")))))))</f>
        <v>7.8</v>
      </c>
      <c r="D51" s="132">
        <f>IF($F$14="","",IF($F$14="Hourly","",IF($E$20="","",(IF($E$20="User Defined",AADT!C22,IF($E$20="Urban",AADT!F22,IF($E$20="Rural",AADT!I22,"ERR")))))))</f>
        <v>50</v>
      </c>
      <c r="E51" s="16">
        <f>IF($F$14="","",IF($F$14="Hourly","",IF($E$20="","",(IF($E$20="User Defined",AADT!D22,IF($E$20="Urban",AADT!G22,IF($E$20="Rural",AADT!J22,"ERR")))))))</f>
        <v>50</v>
      </c>
      <c r="F51" s="105">
        <f t="shared" si="9"/>
        <v>1950</v>
      </c>
      <c r="G51" s="108"/>
      <c r="H51" s="27">
        <f t="shared" si="0"/>
        <v>5</v>
      </c>
      <c r="I51" s="28">
        <f t="shared" si="1"/>
        <v>0.93023255813953487</v>
      </c>
      <c r="J51" s="29">
        <f t="shared" si="10"/>
        <v>2096.25</v>
      </c>
      <c r="K51" s="42"/>
      <c r="L51" s="29">
        <f t="shared" si="2"/>
        <v>2096.25</v>
      </c>
      <c r="M51" s="145">
        <v>1</v>
      </c>
      <c r="N51" s="16">
        <f t="shared" si="3"/>
        <v>1</v>
      </c>
      <c r="O51" s="45"/>
      <c r="P51" s="46"/>
      <c r="Q51" s="29">
        <f t="shared" si="4"/>
        <v>1200</v>
      </c>
      <c r="R51" s="105">
        <f t="shared" si="11"/>
        <v>0</v>
      </c>
      <c r="S51" s="27">
        <f t="shared" si="5"/>
        <v>0</v>
      </c>
      <c r="T51" s="27">
        <f t="shared" si="15"/>
        <v>0</v>
      </c>
      <c r="U51" s="29">
        <f t="shared" si="12"/>
        <v>0</v>
      </c>
      <c r="V51" s="27">
        <f t="shared" si="6"/>
        <v>0</v>
      </c>
      <c r="W51" s="27">
        <f t="shared" si="16"/>
        <v>0</v>
      </c>
      <c r="X51" s="29">
        <f t="shared" si="13"/>
        <v>4618.125</v>
      </c>
      <c r="Y51" s="27">
        <f t="shared" si="7"/>
        <v>8.7464488636363633</v>
      </c>
      <c r="Z51" s="27">
        <f t="shared" si="17"/>
        <v>5806.875</v>
      </c>
      <c r="AA51" s="29">
        <f t="shared" si="14"/>
        <v>4618.125</v>
      </c>
      <c r="AB51" s="27">
        <f t="shared" si="8"/>
        <v>8.7464488636363633</v>
      </c>
      <c r="AC51" s="30">
        <f t="shared" si="18"/>
        <v>5806.875</v>
      </c>
      <c r="AD51" s="24"/>
      <c r="AE51" s="25">
        <f>IF(R50=0,H51,IF(R50&lt;J50,AVERAGE(H50:H51),IF(R50&lt;(J50+J49),AVERAGE(H49:H51),IF(R50&lt;SUM(J40:J50),AVERAGE(H48:H51),IF(R50&lt;SUM(J47:J50),AVERAGE(H47:H51),IF(R50&lt;SUM(J46:J50),AVERAGE(H46:H51),IF(R50&lt;SUM(J45:J50),AVERAGE(H45:H51),AVERAGE(H44:H51))))))))</f>
        <v>5</v>
      </c>
      <c r="AF51" s="25">
        <f t="shared" si="19"/>
        <v>5</v>
      </c>
      <c r="AG51" s="25">
        <f t="shared" si="20"/>
        <v>5</v>
      </c>
      <c r="AH51" s="25">
        <f t="shared" si="21"/>
        <v>5</v>
      </c>
      <c r="AI51" s="2"/>
      <c r="AJ51" s="2"/>
      <c r="AK51" s="2"/>
      <c r="AL51" s="2"/>
      <c r="AM51" s="2"/>
      <c r="AN51" s="2"/>
      <c r="AO51" s="2"/>
      <c r="AP51" s="2"/>
    </row>
    <row r="52" spans="1:42" ht="15.65" customHeight="1" x14ac:dyDescent="0.35">
      <c r="A52" s="70" t="s">
        <v>31</v>
      </c>
      <c r="B52" s="131"/>
      <c r="C52" s="26">
        <f>IF($F$14="","",IF($F$14="Hourly","",IF($E$20="","",(IF($E$20="User Defined",AADT!B23,IF($E$20="Urban",AADT!E23,IF($E$20="Rural",AADT!H23,"ERR")))))))</f>
        <v>7.8</v>
      </c>
      <c r="D52" s="132">
        <f>IF($F$14="","",IF($F$14="Hourly","",IF($E$20="","",(IF($E$20="User Defined",AADT!C23,IF($E$20="Urban",AADT!F23,IF($E$20="Rural",AADT!I23,"ERR")))))))</f>
        <v>50</v>
      </c>
      <c r="E52" s="16">
        <f>IF($F$14="","",IF($F$14="Hourly","",IF($E$20="","",(IF($E$20="User Defined",AADT!D23,IF($E$20="Urban",AADT!G23,IF($E$20="Rural",AADT!J23,"ERR")))))))</f>
        <v>50</v>
      </c>
      <c r="F52" s="105">
        <f t="shared" si="9"/>
        <v>1950</v>
      </c>
      <c r="G52" s="108"/>
      <c r="H52" s="27">
        <f t="shared" si="0"/>
        <v>5</v>
      </c>
      <c r="I52" s="28">
        <f t="shared" si="1"/>
        <v>0.93023255813953487</v>
      </c>
      <c r="J52" s="29">
        <f t="shared" si="10"/>
        <v>2096.25</v>
      </c>
      <c r="K52" s="145"/>
      <c r="L52" s="29">
        <f t="shared" si="2"/>
        <v>2096.25</v>
      </c>
      <c r="M52" s="145">
        <v>1</v>
      </c>
      <c r="N52" s="16">
        <f t="shared" si="3"/>
        <v>1</v>
      </c>
      <c r="O52" s="45"/>
      <c r="P52" s="46"/>
      <c r="Q52" s="29">
        <f t="shared" si="4"/>
        <v>1200</v>
      </c>
      <c r="R52" s="105">
        <f t="shared" si="11"/>
        <v>0</v>
      </c>
      <c r="S52" s="27">
        <f t="shared" si="5"/>
        <v>0</v>
      </c>
      <c r="T52" s="27">
        <f t="shared" si="15"/>
        <v>0</v>
      </c>
      <c r="U52" s="29">
        <f t="shared" si="12"/>
        <v>0</v>
      </c>
      <c r="V52" s="27">
        <f t="shared" si="6"/>
        <v>0</v>
      </c>
      <c r="W52" s="27">
        <f t="shared" si="16"/>
        <v>0</v>
      </c>
      <c r="X52" s="29">
        <f t="shared" si="13"/>
        <v>5514.375</v>
      </c>
      <c r="Y52" s="27">
        <f t="shared" si="7"/>
        <v>10.443892045454545</v>
      </c>
      <c r="Z52" s="27">
        <f t="shared" si="17"/>
        <v>7151.25</v>
      </c>
      <c r="AA52" s="29">
        <f t="shared" si="14"/>
        <v>5514.375</v>
      </c>
      <c r="AB52" s="27">
        <f t="shared" si="8"/>
        <v>10.443892045454545</v>
      </c>
      <c r="AC52" s="30">
        <f t="shared" si="18"/>
        <v>7151.25</v>
      </c>
      <c r="AD52" s="24"/>
      <c r="AE52" s="25">
        <f>IF(R51=0,H52,IF(R51&lt;J51,AVERAGE(H51:H52),IF(R51&lt;(J51+J50),AVERAGE(H50:H52),IF(R51&lt;SUM(J40:J51),AVERAGE(H49:H52),IF(R51&lt;SUM(J48:J51),AVERAGE(H48:H52),IF(R51&lt;SUM(J47:J51),AVERAGE(H47:H52),IF(R51&lt;SUM(J46:J51),AVERAGE(H46:H52),AVERAGE(H45:H52))))))))</f>
        <v>5</v>
      </c>
      <c r="AF52" s="25">
        <f t="shared" si="19"/>
        <v>5</v>
      </c>
      <c r="AG52" s="25">
        <f t="shared" si="20"/>
        <v>5</v>
      </c>
      <c r="AH52" s="25">
        <f t="shared" si="21"/>
        <v>5</v>
      </c>
      <c r="AI52" s="2"/>
      <c r="AJ52" s="2"/>
      <c r="AK52" s="2"/>
      <c r="AL52" s="2"/>
      <c r="AM52" s="2"/>
      <c r="AN52" s="2"/>
      <c r="AO52" s="2"/>
      <c r="AP52" s="2"/>
    </row>
    <row r="53" spans="1:42" ht="15.65" customHeight="1" x14ac:dyDescent="0.35">
      <c r="A53" s="70" t="s">
        <v>32</v>
      </c>
      <c r="B53" s="131"/>
      <c r="C53" s="26">
        <f>IF($F$14="","",IF($F$14="Hourly","",IF($E$20="","",(IF($E$20="User Defined",AADT!B24,IF($E$20="Urban",AADT!E24,IF($E$20="Rural",AADT!H24,"ERR")))))))</f>
        <v>5.8</v>
      </c>
      <c r="D53" s="132">
        <f>IF($F$14="","",IF($F$14="Hourly","",IF($E$20="","",(IF($E$20="User Defined",AADT!C24,IF($E$20="Urban",AADT!F24,IF($E$20="Rural",AADT!I24,"ERR")))))))</f>
        <v>50</v>
      </c>
      <c r="E53" s="16">
        <f>IF($F$14="","",IF($F$14="Hourly","",IF($E$20="","",(IF($E$20="User Defined",AADT!D24,IF($E$20="Urban",AADT!G24,IF($E$20="Rural",AADT!J24,"ERR")))))))</f>
        <v>50</v>
      </c>
      <c r="F53" s="105">
        <f t="shared" si="9"/>
        <v>1450</v>
      </c>
      <c r="G53" s="108"/>
      <c r="H53" s="27">
        <f t="shared" si="0"/>
        <v>5</v>
      </c>
      <c r="I53" s="28">
        <f t="shared" si="1"/>
        <v>0.93023255813953487</v>
      </c>
      <c r="J53" s="29">
        <f t="shared" si="10"/>
        <v>1558.75</v>
      </c>
      <c r="K53" s="42"/>
      <c r="L53" s="29">
        <f t="shared" si="2"/>
        <v>1558.75</v>
      </c>
      <c r="M53" s="145">
        <v>1</v>
      </c>
      <c r="N53" s="16">
        <f t="shared" si="3"/>
        <v>1</v>
      </c>
      <c r="O53" s="45"/>
      <c r="P53" s="46"/>
      <c r="Q53" s="29">
        <f t="shared" si="4"/>
        <v>1200</v>
      </c>
      <c r="R53" s="105">
        <f t="shared" si="11"/>
        <v>0</v>
      </c>
      <c r="S53" s="27">
        <f t="shared" si="5"/>
        <v>0</v>
      </c>
      <c r="T53" s="27">
        <f t="shared" si="15"/>
        <v>0</v>
      </c>
      <c r="U53" s="29">
        <f t="shared" si="12"/>
        <v>0</v>
      </c>
      <c r="V53" s="27">
        <f t="shared" si="6"/>
        <v>0</v>
      </c>
      <c r="W53" s="27">
        <f t="shared" si="16"/>
        <v>0</v>
      </c>
      <c r="X53" s="29">
        <f t="shared" si="13"/>
        <v>5873.125</v>
      </c>
      <c r="Y53" s="27">
        <f t="shared" si="7"/>
        <v>11.123342803030303</v>
      </c>
      <c r="Z53" s="27">
        <f t="shared" si="17"/>
        <v>8361.25</v>
      </c>
      <c r="AA53" s="29">
        <f t="shared" si="14"/>
        <v>5873.125</v>
      </c>
      <c r="AB53" s="27">
        <f t="shared" si="8"/>
        <v>11.123342803030303</v>
      </c>
      <c r="AC53" s="30">
        <f t="shared" si="18"/>
        <v>8361.25</v>
      </c>
      <c r="AD53" s="24"/>
      <c r="AE53" s="25">
        <f>IF(R52=0,H53,IF(R52&lt;J52,AVERAGE(H52:H53),IF(R52&lt;(J52+J51),AVERAGE(H51:H53),IF(R52&lt;SUM(J40:J52),AVERAGE(H50:H53),IF(R52&lt;SUM(J49:J52),AVERAGE(H49:H53),IF(R52&lt;SUM(J48:J52),AVERAGE(H48:H53),IF(R52&lt;SUM(J47:J52),AVERAGE(H47:H53),AVERAGE(H46:H53))))))))</f>
        <v>5</v>
      </c>
      <c r="AF53" s="25">
        <f t="shared" si="19"/>
        <v>5</v>
      </c>
      <c r="AG53" s="25">
        <f t="shared" si="20"/>
        <v>5</v>
      </c>
      <c r="AH53" s="25">
        <f t="shared" si="21"/>
        <v>5</v>
      </c>
      <c r="AI53" s="2"/>
      <c r="AJ53" s="2"/>
      <c r="AK53" s="2"/>
      <c r="AL53" s="2"/>
      <c r="AM53" s="2"/>
      <c r="AN53" s="2"/>
      <c r="AO53" s="2"/>
      <c r="AP53" s="2"/>
    </row>
    <row r="54" spans="1:42" ht="15.65" customHeight="1" x14ac:dyDescent="0.35">
      <c r="A54" s="70" t="s">
        <v>33</v>
      </c>
      <c r="B54" s="131"/>
      <c r="C54" s="26">
        <f>IF($F$14="","",IF($F$14="Hourly","",IF($E$20="","",(IF($E$20="User Defined",AADT!B25,IF($E$20="Urban",AADT!E25,IF($E$20="Rural",AADT!H25,"ERR")))))))</f>
        <v>4.2</v>
      </c>
      <c r="D54" s="132">
        <f>IF($F$14="","",IF($F$14="Hourly","",IF($E$20="","",(IF($E$20="User Defined",AADT!C25,IF($E$20="Urban",AADT!F25,IF($E$20="Rural",AADT!I25,"ERR")))))))</f>
        <v>50</v>
      </c>
      <c r="E54" s="16">
        <f>IF($F$14="","",IF($F$14="Hourly","",IF($E$20="","",(IF($E$20="User Defined",AADT!D25,IF($E$20="Urban",AADT!G25,IF($E$20="Rural",AADT!J25,"ERR")))))))</f>
        <v>50</v>
      </c>
      <c r="F54" s="105">
        <f t="shared" si="9"/>
        <v>1050</v>
      </c>
      <c r="G54" s="108"/>
      <c r="H54" s="27">
        <f t="shared" si="0"/>
        <v>5</v>
      </c>
      <c r="I54" s="28">
        <f t="shared" si="1"/>
        <v>0.93023255813953487</v>
      </c>
      <c r="J54" s="29">
        <f t="shared" si="10"/>
        <v>1128.75</v>
      </c>
      <c r="K54" s="145"/>
      <c r="L54" s="29">
        <f t="shared" si="2"/>
        <v>1128.75</v>
      </c>
      <c r="M54" s="145">
        <v>1</v>
      </c>
      <c r="N54" s="16">
        <f t="shared" si="3"/>
        <v>1</v>
      </c>
      <c r="O54" s="45"/>
      <c r="P54" s="46"/>
      <c r="Q54" s="29">
        <f t="shared" si="4"/>
        <v>1200</v>
      </c>
      <c r="R54" s="105">
        <f t="shared" si="11"/>
        <v>0</v>
      </c>
      <c r="S54" s="27">
        <f t="shared" si="5"/>
        <v>0</v>
      </c>
      <c r="T54" s="27">
        <f t="shared" si="15"/>
        <v>0</v>
      </c>
      <c r="U54" s="29">
        <f t="shared" si="12"/>
        <v>0</v>
      </c>
      <c r="V54" s="27">
        <f t="shared" si="6"/>
        <v>0</v>
      </c>
      <c r="W54" s="27">
        <f t="shared" si="16"/>
        <v>0</v>
      </c>
      <c r="X54" s="29">
        <f t="shared" si="13"/>
        <v>5801.875</v>
      </c>
      <c r="Y54" s="27">
        <f t="shared" si="7"/>
        <v>10.988399621212121</v>
      </c>
      <c r="Z54" s="27">
        <f t="shared" si="17"/>
        <v>8720.625</v>
      </c>
      <c r="AA54" s="29">
        <f t="shared" si="14"/>
        <v>5801.875</v>
      </c>
      <c r="AB54" s="27">
        <f t="shared" si="8"/>
        <v>10.988399621212121</v>
      </c>
      <c r="AC54" s="30">
        <f t="shared" si="18"/>
        <v>8720.625</v>
      </c>
      <c r="AD54" s="24"/>
      <c r="AE54" s="25">
        <f>IF(R53=0,H54,IF(R53&lt;J53,AVERAGE(H53:H54),IF(R53&lt;(J53+J52),AVERAGE(H52:H54),IF(R53&lt;SUM(J40:J53),AVERAGE(H51:H54),IF(R53&lt;SUM(J50:J53),AVERAGE(H50:H54),IF(R53&lt;SUM(J49:J53),AVERAGE(H49:H54),IF(R53&lt;SUM(J48:J53),AVERAGE(H48:H54),AVERAGE(H47:H54))))))))</f>
        <v>5</v>
      </c>
      <c r="AF54" s="25">
        <f t="shared" si="19"/>
        <v>5</v>
      </c>
      <c r="AG54" s="25">
        <f t="shared" si="20"/>
        <v>5</v>
      </c>
      <c r="AH54" s="25">
        <f t="shared" si="21"/>
        <v>5</v>
      </c>
      <c r="AI54" s="2"/>
      <c r="AJ54" s="2"/>
      <c r="AK54" s="2"/>
      <c r="AL54" s="2"/>
      <c r="AM54" s="2"/>
      <c r="AN54" s="2"/>
      <c r="AO54" s="2"/>
      <c r="AP54" s="2"/>
    </row>
    <row r="55" spans="1:42" ht="15.65" customHeight="1" x14ac:dyDescent="0.35">
      <c r="A55" s="70" t="s">
        <v>34</v>
      </c>
      <c r="B55" s="131"/>
      <c r="C55" s="26">
        <f>IF($F$14="","",IF($F$14="Hourly","",IF($E$20="","",(IF($E$20="User Defined",AADT!B26,IF($E$20="Urban",AADT!E26,IF($E$20="Rural",AADT!H26,"ERR")))))))</f>
        <v>3.5</v>
      </c>
      <c r="D55" s="132">
        <f>IF($F$14="","",IF($F$14="Hourly","",IF($E$20="","",(IF($E$20="User Defined",AADT!C26,IF($E$20="Urban",AADT!F26,IF($E$20="Rural",AADT!I26,"ERR")))))))</f>
        <v>50</v>
      </c>
      <c r="E55" s="16">
        <f>IF($F$14="","",IF($F$14="Hourly","",IF($E$20="","",(IF($E$20="User Defined",AADT!D26,IF($E$20="Urban",AADT!G26,IF($E$20="Rural",AADT!J26,"ERR")))))))</f>
        <v>50</v>
      </c>
      <c r="F55" s="105">
        <f t="shared" si="9"/>
        <v>875.00000000000011</v>
      </c>
      <c r="G55" s="108"/>
      <c r="H55" s="27">
        <f t="shared" si="0"/>
        <v>5</v>
      </c>
      <c r="I55" s="28">
        <f t="shared" si="1"/>
        <v>0.93023255813953487</v>
      </c>
      <c r="J55" s="29">
        <f t="shared" si="10"/>
        <v>940.62500000000011</v>
      </c>
      <c r="K55" s="42"/>
      <c r="L55" s="29">
        <f t="shared" si="2"/>
        <v>940.62500000000011</v>
      </c>
      <c r="M55" s="145">
        <v>1</v>
      </c>
      <c r="N55" s="16">
        <f t="shared" si="3"/>
        <v>1</v>
      </c>
      <c r="O55" s="45"/>
      <c r="P55" s="46"/>
      <c r="Q55" s="29">
        <f t="shared" si="4"/>
        <v>1200</v>
      </c>
      <c r="R55" s="105">
        <f t="shared" si="11"/>
        <v>0</v>
      </c>
      <c r="S55" s="27">
        <f t="shared" si="5"/>
        <v>0</v>
      </c>
      <c r="T55" s="27">
        <f t="shared" si="15"/>
        <v>0</v>
      </c>
      <c r="U55" s="29">
        <f t="shared" si="12"/>
        <v>0</v>
      </c>
      <c r="V55" s="27">
        <f t="shared" si="6"/>
        <v>0</v>
      </c>
      <c r="W55" s="27">
        <f t="shared" si="16"/>
        <v>0</v>
      </c>
      <c r="X55" s="29">
        <f t="shared" si="13"/>
        <v>5542.5</v>
      </c>
      <c r="Y55" s="27">
        <f t="shared" si="7"/>
        <v>10.497159090909092</v>
      </c>
      <c r="Z55" s="27">
        <f t="shared" si="17"/>
        <v>8378.59375</v>
      </c>
      <c r="AA55" s="29">
        <f t="shared" si="14"/>
        <v>5542.5</v>
      </c>
      <c r="AB55" s="27">
        <f t="shared" si="8"/>
        <v>10.497159090909092</v>
      </c>
      <c r="AC55" s="30">
        <f t="shared" si="18"/>
        <v>8378.59375</v>
      </c>
      <c r="AD55" s="24"/>
      <c r="AE55" s="25">
        <f>IF(R54=0,H55,IF(R54&lt;J54,AVERAGE(H54:H55),IF(R54&lt;(J54+J53),AVERAGE(H53:H55),IF(R54&lt;SUM(J40:J54),AVERAGE(H52:H55),IF(R54&lt;SUM(J51:J54),AVERAGE(H51:H55),IF(R54&lt;SUM(J50:J54),AVERAGE(H50:H55),IF(R54&lt;SUM(J49:J54),AVERAGE(H49:H55),AVERAGE(H48:H55))))))))</f>
        <v>5</v>
      </c>
      <c r="AF55" s="25">
        <f t="shared" si="19"/>
        <v>5</v>
      </c>
      <c r="AG55" s="25">
        <f t="shared" si="20"/>
        <v>5</v>
      </c>
      <c r="AH55" s="25">
        <f t="shared" si="21"/>
        <v>5</v>
      </c>
      <c r="AI55" s="2"/>
      <c r="AJ55" s="2"/>
      <c r="AK55" s="2"/>
      <c r="AL55" s="2"/>
      <c r="AM55" s="2"/>
      <c r="AN55" s="2"/>
      <c r="AO55" s="2"/>
      <c r="AP55" s="2"/>
    </row>
    <row r="56" spans="1:42" x14ac:dyDescent="0.35">
      <c r="A56" s="70" t="s">
        <v>35</v>
      </c>
      <c r="B56" s="131"/>
      <c r="C56" s="26">
        <f>IF($F$14="","",IF($F$14="Hourly","",IF($E$20="","",(IF($E$20="User Defined",AADT!B27,IF($E$20="Urban",AADT!E27,IF($E$20="Rural",AADT!H27,"ERR")))))))</f>
        <v>2.9</v>
      </c>
      <c r="D56" s="132">
        <f>IF($F$14="","",IF($F$14="Hourly","",IF($E$20="","",(IF($E$20="User Defined",AADT!C27,IF($E$20="Urban",AADT!F27,IF($E$20="Rural",AADT!I27,"ERR")))))))</f>
        <v>50</v>
      </c>
      <c r="E56" s="16">
        <f>IF($F$14="","",IF($F$14="Hourly","",IF($E$20="","",(IF($E$20="User Defined",AADT!D27,IF($E$20="Urban",AADT!G27,IF($E$20="Rural",AADT!J27,"ERR")))))))</f>
        <v>50</v>
      </c>
      <c r="F56" s="105">
        <f t="shared" si="9"/>
        <v>725</v>
      </c>
      <c r="G56" s="108"/>
      <c r="H56" s="27">
        <f t="shared" si="0"/>
        <v>5</v>
      </c>
      <c r="I56" s="28">
        <f t="shared" si="1"/>
        <v>0.93023255813953487</v>
      </c>
      <c r="J56" s="29">
        <f t="shared" si="10"/>
        <v>779.375</v>
      </c>
      <c r="K56" s="145"/>
      <c r="L56" s="29">
        <f t="shared" si="2"/>
        <v>779.375</v>
      </c>
      <c r="M56" s="145">
        <v>1</v>
      </c>
      <c r="N56" s="16">
        <f t="shared" si="3"/>
        <v>1</v>
      </c>
      <c r="O56" s="45"/>
      <c r="P56" s="46"/>
      <c r="Q56" s="29">
        <f t="shared" si="4"/>
        <v>1200</v>
      </c>
      <c r="R56" s="105">
        <f t="shared" si="11"/>
        <v>0</v>
      </c>
      <c r="S56" s="27">
        <f t="shared" si="5"/>
        <v>0</v>
      </c>
      <c r="T56" s="27">
        <f t="shared" si="15"/>
        <v>0</v>
      </c>
      <c r="U56" s="29">
        <f t="shared" si="12"/>
        <v>0</v>
      </c>
      <c r="V56" s="27">
        <f t="shared" si="6"/>
        <v>0</v>
      </c>
      <c r="W56" s="27">
        <f t="shared" si="16"/>
        <v>0</v>
      </c>
      <c r="X56" s="29">
        <f t="shared" si="13"/>
        <v>5121.875</v>
      </c>
      <c r="Y56" s="27">
        <f t="shared" si="7"/>
        <v>9.7005208333333339</v>
      </c>
      <c r="Z56" s="27">
        <f t="shared" si="17"/>
        <v>7787.96875</v>
      </c>
      <c r="AA56" s="29">
        <f t="shared" si="14"/>
        <v>5121.875</v>
      </c>
      <c r="AB56" s="27">
        <f t="shared" si="8"/>
        <v>9.7005208333333339</v>
      </c>
      <c r="AC56" s="30">
        <f t="shared" si="18"/>
        <v>7787.96875</v>
      </c>
      <c r="AD56" s="24"/>
      <c r="AE56" s="25">
        <f>IF(R55=0,H56,IF(R55&lt;J55,AVERAGE(H55:H56),IF(R55&lt;(J55+J54),AVERAGE(H54:H56),IF(R55&lt;SUM(J40:J55),AVERAGE(H53:H56),IF(R55&lt;SUM(J52:J55),AVERAGE(H52:H56),IF(R55&lt;SUM(J51:J55),AVERAGE(H51:H56),IF(R55&lt;SUM(J50:J55),AVERAGE(H50:H56),AVERAGE(H49:H56))))))))</f>
        <v>5</v>
      </c>
      <c r="AF56" s="25">
        <f t="shared" si="19"/>
        <v>5</v>
      </c>
      <c r="AG56" s="25">
        <f t="shared" si="20"/>
        <v>5</v>
      </c>
      <c r="AH56" s="25">
        <f t="shared" si="21"/>
        <v>5</v>
      </c>
      <c r="AI56" s="2"/>
      <c r="AJ56" s="2"/>
      <c r="AK56" s="2"/>
      <c r="AL56" s="2"/>
      <c r="AM56" s="2"/>
      <c r="AN56" s="2"/>
      <c r="AO56" s="2"/>
      <c r="AP56" s="2"/>
    </row>
    <row r="57" spans="1:42" x14ac:dyDescent="0.35">
      <c r="A57" s="70" t="s">
        <v>36</v>
      </c>
      <c r="B57" s="131"/>
      <c r="C57" s="26">
        <f>IF($F$14="","",IF($F$14="Hourly","",IF($E$20="","",(IF($E$20="User Defined",AADT!B28,IF($E$20="Urban",AADT!E28,IF($E$20="Rural",AADT!H28,"ERR")))))))</f>
        <v>2.2000000000000002</v>
      </c>
      <c r="D57" s="132">
        <f>IF($F$14="","",IF($F$14="Hourly","",IF($E$20="","",(IF($E$20="User Defined",AADT!C28,IF($E$20="Urban",AADT!F28,IF($E$20="Rural",AADT!I28,"ERR")))))))</f>
        <v>50</v>
      </c>
      <c r="E57" s="16">
        <f>IF($F$14="","",IF($F$14="Hourly","",IF($E$20="","",(IF($E$20="User Defined",AADT!D28,IF($E$20="Urban",AADT!G28,IF($E$20="Rural",AADT!J28,"ERR")))))))</f>
        <v>50</v>
      </c>
      <c r="F57" s="105">
        <f t="shared" si="9"/>
        <v>550</v>
      </c>
      <c r="G57" s="108"/>
      <c r="H57" s="27">
        <f t="shared" si="0"/>
        <v>5</v>
      </c>
      <c r="I57" s="28">
        <f t="shared" si="1"/>
        <v>0.93023255813953487</v>
      </c>
      <c r="J57" s="29">
        <f t="shared" si="10"/>
        <v>591.25</v>
      </c>
      <c r="K57" s="145"/>
      <c r="L57" s="29">
        <f t="shared" si="2"/>
        <v>591.25</v>
      </c>
      <c r="M57" s="145">
        <v>1</v>
      </c>
      <c r="N57" s="16">
        <f t="shared" si="3"/>
        <v>1</v>
      </c>
      <c r="O57" s="45"/>
      <c r="P57" s="46"/>
      <c r="Q57" s="29">
        <f t="shared" si="4"/>
        <v>1200</v>
      </c>
      <c r="R57" s="105">
        <f t="shared" si="11"/>
        <v>0</v>
      </c>
      <c r="S57" s="27">
        <f t="shared" si="5"/>
        <v>0</v>
      </c>
      <c r="T57" s="27">
        <f t="shared" si="15"/>
        <v>0</v>
      </c>
      <c r="U57" s="29">
        <f t="shared" si="12"/>
        <v>0</v>
      </c>
      <c r="V57" s="27">
        <f t="shared" si="6"/>
        <v>0</v>
      </c>
      <c r="W57" s="27">
        <f t="shared" si="16"/>
        <v>0</v>
      </c>
      <c r="X57" s="29">
        <f t="shared" si="13"/>
        <v>4513.125</v>
      </c>
      <c r="Y57" s="27">
        <f t="shared" si="7"/>
        <v>8.5475852272727266</v>
      </c>
      <c r="Z57" s="27">
        <f t="shared" si="17"/>
        <v>6921.875</v>
      </c>
      <c r="AA57" s="29">
        <f t="shared" si="14"/>
        <v>4513.125</v>
      </c>
      <c r="AB57" s="27">
        <f t="shared" si="8"/>
        <v>8.5475852272727266</v>
      </c>
      <c r="AC57" s="30">
        <f t="shared" si="18"/>
        <v>6921.875</v>
      </c>
      <c r="AD57" s="24"/>
      <c r="AE57" s="25">
        <f>IF(R56=0,H57,IF(R56&lt;J56,AVERAGE(H56:H57),IF(R56&lt;(J56+J55),AVERAGE(H55:H57),IF(R56&lt;SUM(J40:J56),AVERAGE(H54:H57),IF(R56&lt;SUM(J53:J56),AVERAGE(H53:H57),IF(R56&lt;SUM(J52:J56),AVERAGE(H52:H57),IF(R56&lt;SUM(J51:J56),AVERAGE(H51:H57),AVERAGE(H50:H57))))))))</f>
        <v>5</v>
      </c>
      <c r="AF57" s="25">
        <f t="shared" si="19"/>
        <v>5</v>
      </c>
      <c r="AG57" s="25">
        <f t="shared" si="20"/>
        <v>5</v>
      </c>
      <c r="AH57" s="25">
        <f t="shared" si="21"/>
        <v>5</v>
      </c>
      <c r="AI57" s="2"/>
      <c r="AJ57" s="2"/>
      <c r="AK57" s="2"/>
      <c r="AL57" s="2"/>
      <c r="AM57" s="2"/>
      <c r="AN57" s="2"/>
      <c r="AO57" s="2"/>
      <c r="AP57" s="2"/>
    </row>
    <row r="58" spans="1:42" x14ac:dyDescent="0.35">
      <c r="A58" s="71" t="s">
        <v>37</v>
      </c>
      <c r="B58" s="131"/>
      <c r="C58" s="60">
        <f>IF($F$14="","",IF($F$14="Hourly","",IF($E$20="","",(IF($E$20="User Defined",AADT!B29,IF($E$20="Urban",AADT!E29,IF($E$20="Rural",AADT!H29,"ERR")))))))</f>
        <v>1.6</v>
      </c>
      <c r="D58" s="110">
        <f>IF($F$14="","",IF($F$14="Hourly","",IF($E$20="","",(IF($E$20="User Defined",AADT!C29,IF($E$20="Urban",AADT!F29,IF($E$20="Rural",AADT!I29,"ERR")))))))</f>
        <v>50</v>
      </c>
      <c r="E58" s="17">
        <f>IF($F$14="","",IF($F$14="Hourly","",IF($E$20="","",(IF($E$20="User Defined",AADT!D29,IF($E$20="Urban",AADT!G29,IF($E$20="Rural",AADT!J29,"ERR")))))))</f>
        <v>50</v>
      </c>
      <c r="F58" s="106">
        <f t="shared" si="9"/>
        <v>400</v>
      </c>
      <c r="G58" s="109"/>
      <c r="H58" s="31">
        <f t="shared" si="0"/>
        <v>5</v>
      </c>
      <c r="I58" s="61">
        <f t="shared" si="1"/>
        <v>0.93023255813953487</v>
      </c>
      <c r="J58" s="32">
        <f t="shared" si="10"/>
        <v>430</v>
      </c>
      <c r="K58" s="62"/>
      <c r="L58" s="32">
        <f t="shared" si="2"/>
        <v>430</v>
      </c>
      <c r="M58" s="62">
        <v>1</v>
      </c>
      <c r="N58" s="17">
        <f t="shared" si="3"/>
        <v>1</v>
      </c>
      <c r="O58" s="63"/>
      <c r="P58" s="64"/>
      <c r="Q58" s="32">
        <f t="shared" si="4"/>
        <v>1200</v>
      </c>
      <c r="R58" s="106">
        <f t="shared" si="11"/>
        <v>0</v>
      </c>
      <c r="S58" s="31">
        <f t="shared" si="5"/>
        <v>0</v>
      </c>
      <c r="T58" s="31">
        <f t="shared" si="15"/>
        <v>0</v>
      </c>
      <c r="U58" s="32">
        <f t="shared" si="12"/>
        <v>0</v>
      </c>
      <c r="V58" s="31">
        <f t="shared" si="6"/>
        <v>0</v>
      </c>
      <c r="W58" s="31">
        <f t="shared" si="16"/>
        <v>0</v>
      </c>
      <c r="X58" s="29">
        <f t="shared" si="13"/>
        <v>3743.125</v>
      </c>
      <c r="Y58" s="31">
        <f t="shared" si="7"/>
        <v>7.0892518939393936</v>
      </c>
      <c r="Z58" s="31">
        <f t="shared" si="17"/>
        <v>5807.1875</v>
      </c>
      <c r="AA58" s="29">
        <f t="shared" si="14"/>
        <v>3743.125</v>
      </c>
      <c r="AB58" s="31">
        <f t="shared" si="8"/>
        <v>7.0892518939393936</v>
      </c>
      <c r="AC58" s="33">
        <f t="shared" si="18"/>
        <v>5807.1875</v>
      </c>
      <c r="AD58" s="24"/>
      <c r="AE58" s="25">
        <f>IF(R57=0,H58,IF(R57&lt;J57,AVERAGE(H57:H58),IF(R57&lt;(J57+J56),AVERAGE(H56:H58),IF(R57&lt;SUM(J40:J57),AVERAGE(H55:H58),IF(R57&lt;SUM(J54:J57),AVERAGE(H54:H58),IF(R57&lt;SUM(J53:J57),AVERAGE(H53:H58),IF(R57&lt;SUM(J52:J57),AVERAGE(H52:H58),AVERAGE(H51:H58))))))))</f>
        <v>5</v>
      </c>
      <c r="AF58" s="25">
        <f t="shared" si="19"/>
        <v>5</v>
      </c>
      <c r="AG58" s="25">
        <f t="shared" si="20"/>
        <v>5</v>
      </c>
      <c r="AH58" s="25">
        <f t="shared" si="21"/>
        <v>5</v>
      </c>
      <c r="AI58" s="2"/>
      <c r="AJ58" s="2"/>
      <c r="AK58" s="2"/>
      <c r="AL58" s="2"/>
      <c r="AM58" s="2"/>
      <c r="AN58" s="2"/>
      <c r="AO58" s="2"/>
      <c r="AP58" s="2"/>
    </row>
    <row r="59" spans="1:42" x14ac:dyDescent="0.35">
      <c r="A59" s="4"/>
      <c r="B59" s="1"/>
      <c r="C59" s="1"/>
      <c r="D59" s="1"/>
      <c r="E59" s="1"/>
      <c r="F59" s="1"/>
      <c r="G59" s="1"/>
      <c r="H59" s="1"/>
      <c r="I59" s="1"/>
      <c r="J59" s="1"/>
      <c r="K59" s="133"/>
      <c r="L59" s="1"/>
      <c r="M59" s="1"/>
      <c r="N59" s="1"/>
      <c r="O59" s="1"/>
      <c r="P59" s="1"/>
      <c r="Q59" s="1"/>
      <c r="R59" s="166" t="s">
        <v>147</v>
      </c>
      <c r="S59" s="167"/>
      <c r="T59" s="34">
        <f>SUM(T35:T58)</f>
        <v>0</v>
      </c>
      <c r="U59" s="166" t="s">
        <v>147</v>
      </c>
      <c r="V59" s="167"/>
      <c r="W59" s="34">
        <f>SUM(W35:W58)</f>
        <v>0</v>
      </c>
      <c r="X59" s="166" t="s">
        <v>147</v>
      </c>
      <c r="Y59" s="167"/>
      <c r="Z59" s="34">
        <f>SUM(Z35:Z58)</f>
        <v>82630.46875</v>
      </c>
      <c r="AA59" s="166" t="s">
        <v>147</v>
      </c>
      <c r="AB59" s="167"/>
      <c r="AC59" s="35">
        <f>SUM(AC35:AC58)</f>
        <v>82630.46875</v>
      </c>
      <c r="AF59" s="3"/>
      <c r="AG59" s="3"/>
      <c r="AH59" s="3"/>
      <c r="AK59" s="2"/>
      <c r="AL59" s="2"/>
      <c r="AM59" s="2"/>
      <c r="AN59" s="2"/>
      <c r="AO59" s="2"/>
      <c r="AP59" s="2"/>
    </row>
    <row r="60" spans="1:42" x14ac:dyDescent="0.35">
      <c r="A60" s="47" t="s">
        <v>13</v>
      </c>
      <c r="B60" s="160">
        <v>1</v>
      </c>
      <c r="C60" s="160"/>
      <c r="D60" s="160"/>
      <c r="E60" s="160"/>
      <c r="F60" s="160"/>
      <c r="G60" s="160"/>
      <c r="H60" s="160"/>
      <c r="I60" s="160"/>
      <c r="J60" s="160"/>
      <c r="K60" s="160"/>
      <c r="L60" s="160"/>
      <c r="M60" s="160"/>
      <c r="N60" s="160"/>
      <c r="O60" s="160"/>
      <c r="P60" s="160"/>
      <c r="Q60" s="11"/>
      <c r="R60" s="161" t="s">
        <v>148</v>
      </c>
      <c r="S60" s="162"/>
      <c r="T60" s="36">
        <f>+T59-T61</f>
        <v>0</v>
      </c>
      <c r="U60" s="161" t="s">
        <v>148</v>
      </c>
      <c r="V60" s="162"/>
      <c r="W60" s="36">
        <f>+W59-W61</f>
        <v>0</v>
      </c>
      <c r="X60" s="161" t="s">
        <v>148</v>
      </c>
      <c r="Y60" s="162"/>
      <c r="Z60" s="36">
        <f>+Z59-Z61</f>
        <v>78498.9453125</v>
      </c>
      <c r="AA60" s="161" t="s">
        <v>148</v>
      </c>
      <c r="AB60" s="162"/>
      <c r="AC60" s="37">
        <f>+AC59-AC61</f>
        <v>78498.9453125</v>
      </c>
      <c r="AD60" s="38"/>
      <c r="AE60" s="38"/>
      <c r="AF60" s="3"/>
      <c r="AG60" s="3"/>
      <c r="AH60" s="3"/>
      <c r="AK60" s="2"/>
      <c r="AL60" s="2"/>
      <c r="AM60" s="2"/>
      <c r="AN60" s="2"/>
      <c r="AO60" s="2"/>
      <c r="AP60" s="2"/>
    </row>
    <row r="61" spans="1:42" x14ac:dyDescent="0.35">
      <c r="A61" s="4"/>
      <c r="B61" s="160">
        <v>1</v>
      </c>
      <c r="C61" s="160"/>
      <c r="D61" s="160"/>
      <c r="E61" s="160"/>
      <c r="F61" s="160"/>
      <c r="G61" s="160"/>
      <c r="H61" s="160"/>
      <c r="I61" s="160"/>
      <c r="J61" s="160"/>
      <c r="K61" s="160"/>
      <c r="L61" s="160"/>
      <c r="M61" s="160"/>
      <c r="N61" s="160"/>
      <c r="O61" s="160"/>
      <c r="P61" s="160"/>
      <c r="Q61" s="11"/>
      <c r="R61" s="161" t="s">
        <v>149</v>
      </c>
      <c r="S61" s="162"/>
      <c r="T61" s="36">
        <f>IF(T59=0,0,(SUMIF(T35:T58,"&gt;0",AE35:AE58)/COUNTIF(T35:T58,"&gt;0"))/100*T59)</f>
        <v>0</v>
      </c>
      <c r="U61" s="161" t="s">
        <v>149</v>
      </c>
      <c r="V61" s="162"/>
      <c r="W61" s="36">
        <f>IF(W59=0,0,(SUMIF(W35:W58,"&gt;0",AF35:AF58)/COUNTIF(W35:W58,"&gt;0"))/100*W59)</f>
        <v>0</v>
      </c>
      <c r="X61" s="161" t="s">
        <v>149</v>
      </c>
      <c r="Y61" s="162"/>
      <c r="Z61" s="36">
        <f>IF(Z59=0,0,(SUMIF(Z35:Z58,"&gt;0",AG35:AG58)/COUNTIF(Z35:Z58,"&gt;0"))/100*Z59)</f>
        <v>4131.5234375</v>
      </c>
      <c r="AA61" s="161" t="s">
        <v>149</v>
      </c>
      <c r="AB61" s="162"/>
      <c r="AC61" s="37">
        <f>IF(AC59=0,0,(SUMIF(AC35:AC58,"&gt;0",AH35:AH58)/COUNTIF(AC35:AC58,"&gt;0"))/100*AC59)</f>
        <v>4131.5234375</v>
      </c>
      <c r="AD61" s="38"/>
      <c r="AE61" s="38"/>
      <c r="AF61" s="3"/>
      <c r="AG61" s="3"/>
      <c r="AH61" s="3"/>
      <c r="AK61" s="2"/>
      <c r="AL61" s="2"/>
      <c r="AM61" s="2"/>
      <c r="AN61" s="2"/>
      <c r="AO61" s="2"/>
      <c r="AP61" s="2"/>
    </row>
    <row r="62" spans="1:42" ht="15" thickBot="1" x14ac:dyDescent="0.4">
      <c r="A62" s="14"/>
      <c r="B62" s="163">
        <v>3</v>
      </c>
      <c r="C62" s="163"/>
      <c r="D62" s="163"/>
      <c r="E62" s="163"/>
      <c r="F62" s="163"/>
      <c r="G62" s="163"/>
      <c r="H62" s="163"/>
      <c r="I62" s="163"/>
      <c r="J62" s="163"/>
      <c r="K62" s="163"/>
      <c r="L62" s="163"/>
      <c r="M62" s="163"/>
      <c r="N62" s="163"/>
      <c r="O62" s="163"/>
      <c r="P62" s="163"/>
      <c r="Q62" s="48"/>
      <c r="R62" s="164" t="s">
        <v>78</v>
      </c>
      <c r="S62" s="165"/>
      <c r="T62" s="39">
        <f>IF(SUM(J35:J58)=0,0,T59/(SUM(J35:J58)))</f>
        <v>0</v>
      </c>
      <c r="U62" s="164" t="s">
        <v>78</v>
      </c>
      <c r="V62" s="165"/>
      <c r="W62" s="39">
        <f>IF(SUM(L35:L58)=0,0,W59/(SUM(L35:L58)))</f>
        <v>0</v>
      </c>
      <c r="X62" s="164" t="s">
        <v>78</v>
      </c>
      <c r="Y62" s="165"/>
      <c r="Z62" s="39">
        <f>IF(SUM(J35:J58)=0,0,Z59/(SUM(J35:J58)))</f>
        <v>3.074622093023256</v>
      </c>
      <c r="AA62" s="164" t="s">
        <v>78</v>
      </c>
      <c r="AB62" s="165"/>
      <c r="AC62" s="40">
        <f>IF(SUM(L35:L58)=0,0,AC59/(SUM(L35:L58)))</f>
        <v>3.074622093023256</v>
      </c>
      <c r="AD62" s="38"/>
      <c r="AE62" s="38"/>
      <c r="AF62" s="3"/>
      <c r="AG62" s="3"/>
      <c r="AH62" s="3"/>
      <c r="AK62" s="2"/>
      <c r="AL62" s="2"/>
      <c r="AM62" s="2"/>
      <c r="AN62" s="2"/>
      <c r="AO62" s="2"/>
      <c r="AP62" s="2"/>
    </row>
    <row r="63" spans="1:42" x14ac:dyDescent="0.35">
      <c r="W63" s="11"/>
      <c r="X63" s="11"/>
      <c r="Y63" s="11"/>
      <c r="Z63" s="11"/>
      <c r="AA63" s="11"/>
      <c r="AP63" s="2"/>
    </row>
  </sheetData>
  <sheetProtection password="E385" sheet="1" objects="1" scenarios="1" selectLockedCells="1"/>
  <dataConsolidate/>
  <mergeCells count="92">
    <mergeCell ref="B61:P61"/>
    <mergeCell ref="R61:S61"/>
    <mergeCell ref="U61:V61"/>
    <mergeCell ref="X61:Y61"/>
    <mergeCell ref="AA61:AB61"/>
    <mergeCell ref="B62:P62"/>
    <mergeCell ref="R62:S62"/>
    <mergeCell ref="U62:V62"/>
    <mergeCell ref="X62:Y62"/>
    <mergeCell ref="AA62:AB62"/>
    <mergeCell ref="R59:S59"/>
    <mergeCell ref="U59:V59"/>
    <mergeCell ref="X59:Y59"/>
    <mergeCell ref="AA59:AB59"/>
    <mergeCell ref="B60:P60"/>
    <mergeCell ref="R60:S60"/>
    <mergeCell ref="U60:V60"/>
    <mergeCell ref="X60:Y60"/>
    <mergeCell ref="AA60:AB60"/>
    <mergeCell ref="AE31:AH31"/>
    <mergeCell ref="D32:E32"/>
    <mergeCell ref="G32:H32"/>
    <mergeCell ref="AE32:AE33"/>
    <mergeCell ref="AF32:AF33"/>
    <mergeCell ref="AG32:AG33"/>
    <mergeCell ref="AH32:AH33"/>
    <mergeCell ref="A29:AC29"/>
    <mergeCell ref="B30:L30"/>
    <mergeCell ref="M30:Q30"/>
    <mergeCell ref="R30:AC30"/>
    <mergeCell ref="C31:E31"/>
    <mergeCell ref="G31:H31"/>
    <mergeCell ref="K31:L31"/>
    <mergeCell ref="R31:T31"/>
    <mergeCell ref="U31:W31"/>
    <mergeCell ref="X31:Z31"/>
    <mergeCell ref="AA31:AC31"/>
    <mergeCell ref="A25:E25"/>
    <mergeCell ref="F25:G25"/>
    <mergeCell ref="I25:N25"/>
    <mergeCell ref="A26:G27"/>
    <mergeCell ref="I26:P26"/>
    <mergeCell ref="J27:K27"/>
    <mergeCell ref="L27:N27"/>
    <mergeCell ref="O27:P27"/>
    <mergeCell ref="A22:G22"/>
    <mergeCell ref="I22:P22"/>
    <mergeCell ref="A23:E23"/>
    <mergeCell ref="F23:G23"/>
    <mergeCell ref="A24:G24"/>
    <mergeCell ref="I24:P24"/>
    <mergeCell ref="A21:D21"/>
    <mergeCell ref="E21:G21"/>
    <mergeCell ref="I21:P21"/>
    <mergeCell ref="A15:G15"/>
    <mergeCell ref="A16:G16"/>
    <mergeCell ref="I16:P16"/>
    <mergeCell ref="A17:G17"/>
    <mergeCell ref="I17:P17"/>
    <mergeCell ref="A18:E18"/>
    <mergeCell ref="F18:G18"/>
    <mergeCell ref="I18:P18"/>
    <mergeCell ref="A19:G19"/>
    <mergeCell ref="I19:N19"/>
    <mergeCell ref="A20:D20"/>
    <mergeCell ref="E20:G20"/>
    <mergeCell ref="I20:P20"/>
    <mergeCell ref="I12:N12"/>
    <mergeCell ref="A13:G13"/>
    <mergeCell ref="I13:N13"/>
    <mergeCell ref="A14:E14"/>
    <mergeCell ref="F14:G14"/>
    <mergeCell ref="I14:N14"/>
    <mergeCell ref="A7:A11"/>
    <mergeCell ref="B7:G11"/>
    <mergeCell ref="I7:N7"/>
    <mergeCell ref="I8:N8"/>
    <mergeCell ref="I9:N9"/>
    <mergeCell ref="I10:N10"/>
    <mergeCell ref="I11:N11"/>
    <mergeCell ref="A4:A5"/>
    <mergeCell ref="B4:G5"/>
    <mergeCell ref="I4:N4"/>
    <mergeCell ref="I5:N5"/>
    <mergeCell ref="B6:G6"/>
    <mergeCell ref="I6:N6"/>
    <mergeCell ref="A1:G1"/>
    <mergeCell ref="I1:P1"/>
    <mergeCell ref="B2:G2"/>
    <mergeCell ref="I2:N2"/>
    <mergeCell ref="B3:G3"/>
    <mergeCell ref="I3:N3"/>
  </mergeCells>
  <conditionalFormatting sqref="AB35:AB58">
    <cfRule type="cellIs" dxfId="14" priority="5" operator="greaterThan">
      <formula>0.75</formula>
    </cfRule>
    <cfRule type="cellIs" dxfId="13" priority="6" operator="lessThanOrEqual">
      <formula>0.75</formula>
    </cfRule>
  </conditionalFormatting>
  <conditionalFormatting sqref="Y35:Y58">
    <cfRule type="cellIs" dxfId="12" priority="3" operator="greaterThan">
      <formula>0.75</formula>
    </cfRule>
    <cfRule type="cellIs" dxfId="11" priority="4" operator="lessThanOrEqual">
      <formula>0.75</formula>
    </cfRule>
  </conditionalFormatting>
  <conditionalFormatting sqref="F18:G18">
    <cfRule type="expression" dxfId="10" priority="2">
      <formula>$F$14="AADT"</formula>
    </cfRule>
  </conditionalFormatting>
  <conditionalFormatting sqref="E20:G21">
    <cfRule type="expression" dxfId="9" priority="1">
      <formula>$F$14="AADT"</formula>
    </cfRule>
  </conditionalFormatting>
  <dataValidations count="18">
    <dataValidation type="list" showInputMessage="1" showErrorMessage="1" sqref="E21" xr:uid="{11AAFFF5-FFB8-4BD3-BCC2-7E2CE5369991}">
      <formula1>Direction</formula1>
    </dataValidation>
    <dataValidation type="whole" operator="greaterThanOrEqual" allowBlank="1" showErrorMessage="1" errorTitle="Estimated or actual volumes" error="Must be a positive value." sqref="B35:B58" xr:uid="{A37C8CD4-F8B2-4E60-B411-718BF7835E2A}">
      <formula1>0</formula1>
    </dataValidation>
    <dataValidation type="whole" allowBlank="1" showErrorMessage="1" errorTitle="Diversion" error="Must be between 0 and 100." sqref="K35:K58" xr:uid="{AD01BE24-F9B7-46F5-8408-7539F008854D}">
      <formula1>0</formula1>
      <formula2>100</formula2>
    </dataValidation>
    <dataValidation type="list" showErrorMessage="1" promptTitle="Roadway" sqref="E20" xr:uid="{7E24F31F-73B4-4816-AEBC-A2E7AB6C0A1A}">
      <formula1>Roadway</formula1>
    </dataValidation>
    <dataValidation type="list" showInputMessage="1" showErrorMessage="1" sqref="F14" xr:uid="{F7BAE861-E796-4229-9686-BEC36FA853AB}">
      <formula1>Volume</formula1>
    </dataValidation>
    <dataValidation type="list" allowBlank="1" showInputMessage="1" showErrorMessage="1" sqref="O3" xr:uid="{F261019A-7A24-424B-862A-97A7EAA598A7}">
      <formula1>Terrain</formula1>
    </dataValidation>
    <dataValidation type="whole" operator="greaterThan" allowBlank="1" showInputMessage="1" showErrorMessage="1" error="Must be a positive, whole number." sqref="O2" xr:uid="{2D3DCD13-865B-4E5A-A14A-291B36C36950}">
      <formula1>0</formula1>
    </dataValidation>
    <dataValidation type="decimal" operator="greaterThanOrEqual" allowBlank="1" showErrorMessage="1" errorTitle="Lane width" error="Must be at least 10 ft." sqref="O7" xr:uid="{24EE9CBA-6BBF-464E-B4EA-435736F97DD4}">
      <formula1>10</formula1>
    </dataValidation>
    <dataValidation type="whole" allowBlank="1" showErrorMessage="1" errorTitle="Lateral clearance" error="Must be a whole number between zero and 6 ft." sqref="O9" xr:uid="{794873CC-0DF0-4999-AAE4-0F3537ED9DB6}">
      <formula1>0</formula1>
      <formula2>6</formula2>
    </dataValidation>
    <dataValidation type="whole" allowBlank="1" showErrorMessage="1" errorTitle="Ramps" error="Must be between 0 and 6." sqref="O11" xr:uid="{E87FC90C-D3F9-412B-AF38-4FA97B2EECC7}">
      <formula1>0</formula1>
      <formula2>6</formula2>
    </dataValidation>
    <dataValidation type="whole" operator="greaterThanOrEqual" allowBlank="1" showInputMessage="1" showErrorMessage="1" sqref="P35:P58 F18:G18 H25" xr:uid="{8769E7C6-1260-4782-9F6C-F3F5370F47C4}">
      <formula1>0</formula1>
    </dataValidation>
    <dataValidation type="decimal" operator="greaterThanOrEqual" allowBlank="1" showInputMessage="1" showErrorMessage="1" sqref="H23" xr:uid="{2B2FDF94-9F75-4DDB-8736-E0697F04828D}">
      <formula1>0</formula1>
    </dataValidation>
    <dataValidation type="whole" operator="lessThanOrEqual" allowBlank="1" showInputMessage="1" showErrorMessage="1" sqref="M35:M58" xr:uid="{5A450D9F-9F71-4717-8C41-A5D3ED5C3FB1}">
      <formula1>$O$2</formula1>
    </dataValidation>
    <dataValidation type="whole" allowBlank="1" showInputMessage="1" showErrorMessage="1" promptTitle="Calibration" prompt="Ohio work zones observed during 2013 - 2014 had an average capacity of 1200 pcphpl. Therefore the default calibration value for Ohio is -400 pcphpl." sqref="O19" xr:uid="{4D72920F-D714-4899-9CE4-274554A349CA}">
      <formula1>-400</formula1>
      <formula2>0</formula2>
    </dataValidation>
    <dataValidation type="decimal" allowBlank="1" showInputMessage="1" showErrorMessage="1" sqref="F23:G23" xr:uid="{B1872B9D-B660-4E60-9BFA-239D24DFB865}">
      <formula1>0</formula1>
      <formula2>100</formula2>
    </dataValidation>
    <dataValidation type="decimal" allowBlank="1" showErrorMessage="1" errorTitle="total proportion" error="Together the base and difference must be at least 0 and cannot exceed 100." sqref="G35:G58" xr:uid="{C5BFAD1C-BFED-4438-8380-B984CBE10088}">
      <formula1>-$F$23</formula1>
      <formula2>100-$F$23</formula2>
    </dataValidation>
    <dataValidation type="whole" operator="greaterThanOrEqual" allowBlank="1" showInputMessage="1" showErrorMessage="1" promptTitle="Average minimum headway" prompt="The default value for the average minimum headway of passenger cars in queue is 20 ft." sqref="O25" xr:uid="{C133F17B-9C39-41CC-8E54-CC23739DB6E5}">
      <formula1>0</formula1>
    </dataValidation>
    <dataValidation type="whole" operator="greaterThanOrEqual" allowBlank="1" showInputMessage="1" showErrorMessage="1" promptTitle="Diversion threshold" prompt="ODOT uses a default diversion threshold value of 1000 pcph." sqref="F25:G25" xr:uid="{4CB44335-4120-4D2D-9145-A2EC8993FB0D}">
      <formula1>0</formula1>
    </dataValidation>
  </dataValidations>
  <printOptions horizontalCentered="1"/>
  <pageMargins left="0.25" right="0.25" top="1.45" bottom="0.55000000000000004" header="1" footer="0.3"/>
  <pageSetup scale="50" orientation="landscape" r:id="rId1"/>
  <headerFooter>
    <oddHeader xml:space="preserve">&amp;L&amp;"-,Bold"&amp;16 &amp;G&amp;C&amp;"Arial Rounded MT Bold,Regular"&amp;20&amp;K03-024TDOT Lane Closure Queue Analysis Too&amp;"-,Regular"&amp;11&amp;K01+000l&amp;R&amp;14&amp;K000000
</oddHeader>
    <oddFooter xml:space="preserve">&amp;L&amp;9Version 1.1, 3/4/2016
&amp;R&amp;"-,Italic"&amp;9Originally developed by Cleveland State University as part of ODOT research (SJN 134719). ODOT has and will continue to make updates as necessary. 
 </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A010-D1BE-46F1-9B78-CBB94C3954E2}">
  <sheetPr>
    <pageSetUpPr fitToPage="1"/>
  </sheetPr>
  <dimension ref="A1:AR63"/>
  <sheetViews>
    <sheetView showGridLines="0" tabSelected="1" showRuler="0" topLeftCell="A12" zoomScale="60" zoomScaleNormal="55" zoomScalePageLayoutView="55" workbookViewId="0">
      <selection activeCell="B40" sqref="B40"/>
    </sheetView>
  </sheetViews>
  <sheetFormatPr defaultColWidth="9.1796875" defaultRowHeight="14.5" x14ac:dyDescent="0.35"/>
  <cols>
    <col min="1" max="1" width="14" style="2" bestFit="1" customWidth="1"/>
    <col min="2" max="2" width="10.453125" style="2" bestFit="1" customWidth="1"/>
    <col min="3" max="3" width="7.1796875" style="2" customWidth="1"/>
    <col min="4" max="5" width="5.1796875" style="2" customWidth="1"/>
    <col min="6" max="6" width="8.81640625" style="2" bestFit="1" customWidth="1"/>
    <col min="7" max="8" width="6.453125" style="2" customWidth="1"/>
    <col min="9" max="9" width="7.81640625" style="2" bestFit="1" customWidth="1"/>
    <col min="10" max="10" width="8.81640625" style="2" customWidth="1"/>
    <col min="11" max="11" width="10" style="2" bestFit="1" customWidth="1"/>
    <col min="12" max="12" width="10.54296875" style="2" customWidth="1"/>
    <col min="13" max="14" width="8.54296875" style="2" bestFit="1" customWidth="1"/>
    <col min="15" max="17" width="9.1796875" style="2" bestFit="1" customWidth="1"/>
    <col min="18" max="19" width="9.81640625" style="2" customWidth="1"/>
    <col min="20" max="20" width="11" style="2" bestFit="1" customWidth="1"/>
    <col min="21" max="22" width="9.81640625" style="2" customWidth="1"/>
    <col min="23" max="23" width="11" style="2" bestFit="1" customWidth="1"/>
    <col min="24" max="25" width="9.81640625" style="2" customWidth="1"/>
    <col min="26" max="26" width="11" style="2" bestFit="1" customWidth="1"/>
    <col min="27" max="28" width="9.81640625" style="2" customWidth="1"/>
    <col min="29" max="29" width="11" style="2" bestFit="1" customWidth="1"/>
    <col min="30" max="30" width="9.81640625" style="2" customWidth="1"/>
    <col min="31" max="34" width="15.81640625" style="2" hidden="1" customWidth="1"/>
    <col min="35" max="40" width="7.81640625" style="3" customWidth="1"/>
    <col min="41" max="42" width="5.81640625" style="3" customWidth="1"/>
    <col min="43" max="43" width="5.81640625" style="2" customWidth="1"/>
    <col min="44" max="16384" width="9.1796875" style="2"/>
  </cols>
  <sheetData>
    <row r="1" spans="1:44" ht="15.5" x14ac:dyDescent="0.35">
      <c r="A1" s="208" t="s">
        <v>138</v>
      </c>
      <c r="B1" s="209"/>
      <c r="C1" s="209"/>
      <c r="D1" s="209"/>
      <c r="E1" s="209"/>
      <c r="F1" s="209"/>
      <c r="G1" s="210"/>
      <c r="H1" s="100"/>
      <c r="I1" s="208" t="s">
        <v>139</v>
      </c>
      <c r="J1" s="209"/>
      <c r="K1" s="209"/>
      <c r="L1" s="209"/>
      <c r="M1" s="209"/>
      <c r="N1" s="209"/>
      <c r="O1" s="209"/>
      <c r="P1" s="210"/>
      <c r="Q1" s="1"/>
      <c r="R1" s="1"/>
      <c r="AG1" s="3"/>
      <c r="AH1" s="3"/>
      <c r="AM1" s="2"/>
      <c r="AN1" s="2"/>
      <c r="AO1" s="1"/>
      <c r="AP1" s="1"/>
      <c r="AQ1" s="1"/>
      <c r="AR1" s="1"/>
    </row>
    <row r="2" spans="1:44" ht="15" customHeight="1" x14ac:dyDescent="0.35">
      <c r="A2" s="146" t="s">
        <v>0</v>
      </c>
      <c r="B2" s="227"/>
      <c r="C2" s="227"/>
      <c r="D2" s="227"/>
      <c r="E2" s="227"/>
      <c r="F2" s="227"/>
      <c r="G2" s="228"/>
      <c r="H2" s="101"/>
      <c r="I2" s="188" t="s">
        <v>110</v>
      </c>
      <c r="J2" s="189"/>
      <c r="K2" s="189"/>
      <c r="L2" s="189"/>
      <c r="M2" s="189"/>
      <c r="N2" s="189"/>
      <c r="O2" s="41">
        <v>3</v>
      </c>
      <c r="P2" s="5" t="s">
        <v>10</v>
      </c>
      <c r="Q2" s="1"/>
      <c r="R2" s="1"/>
      <c r="AG2" s="3"/>
      <c r="AH2" s="3"/>
      <c r="AM2" s="2"/>
      <c r="AN2" s="2"/>
      <c r="AO2" s="1"/>
      <c r="AP2" s="1"/>
      <c r="AQ2" s="1"/>
      <c r="AR2" s="1"/>
    </row>
    <row r="3" spans="1:44" ht="15" customHeight="1" x14ac:dyDescent="0.35">
      <c r="A3" s="4" t="s">
        <v>64</v>
      </c>
      <c r="B3" s="223"/>
      <c r="C3" s="223"/>
      <c r="D3" s="223"/>
      <c r="E3" s="223"/>
      <c r="F3" s="223"/>
      <c r="G3" s="224"/>
      <c r="H3" s="101"/>
      <c r="I3" s="188" t="s">
        <v>102</v>
      </c>
      <c r="J3" s="189"/>
      <c r="K3" s="189"/>
      <c r="L3" s="189"/>
      <c r="M3" s="189"/>
      <c r="N3" s="189"/>
      <c r="O3" s="41" t="s">
        <v>92</v>
      </c>
      <c r="P3" s="5"/>
      <c r="Q3" s="1"/>
      <c r="R3" s="1"/>
      <c r="AG3" s="3"/>
      <c r="AH3" s="3"/>
      <c r="AM3" s="2"/>
      <c r="AN3" s="2"/>
      <c r="AO3" s="1"/>
      <c r="AP3" s="1"/>
      <c r="AQ3" s="1"/>
      <c r="AR3" s="1"/>
    </row>
    <row r="4" spans="1:44" ht="15" customHeight="1" x14ac:dyDescent="0.45">
      <c r="A4" s="221" t="s">
        <v>63</v>
      </c>
      <c r="B4" s="223"/>
      <c r="C4" s="223"/>
      <c r="D4" s="223"/>
      <c r="E4" s="223"/>
      <c r="F4" s="223"/>
      <c r="G4" s="224"/>
      <c r="H4" s="101"/>
      <c r="I4" s="188" t="s">
        <v>134</v>
      </c>
      <c r="J4" s="189"/>
      <c r="K4" s="189"/>
      <c r="L4" s="189"/>
      <c r="M4" s="189"/>
      <c r="N4" s="189"/>
      <c r="O4" s="6">
        <f>IF(O3="Level",1.5,IF(O3="Rolling",2.5,IF(O3="Mountainous",4.5,"ERR")))</f>
        <v>1.5</v>
      </c>
      <c r="P4" s="5"/>
      <c r="Q4" s="1"/>
      <c r="R4" s="1"/>
      <c r="AG4" s="3"/>
      <c r="AH4" s="3"/>
      <c r="AM4" s="2"/>
      <c r="AN4" s="2"/>
      <c r="AO4" s="1"/>
      <c r="AP4" s="1"/>
      <c r="AQ4" s="1"/>
      <c r="AR4" s="1"/>
    </row>
    <row r="5" spans="1:44" ht="15" customHeight="1" x14ac:dyDescent="0.35">
      <c r="A5" s="221"/>
      <c r="B5" s="223"/>
      <c r="C5" s="223"/>
      <c r="D5" s="223"/>
      <c r="E5" s="223"/>
      <c r="F5" s="223"/>
      <c r="G5" s="224"/>
      <c r="H5" s="101"/>
      <c r="I5" s="188" t="s">
        <v>53</v>
      </c>
      <c r="J5" s="189"/>
      <c r="K5" s="189"/>
      <c r="L5" s="189"/>
      <c r="M5" s="189"/>
      <c r="N5" s="189"/>
      <c r="O5" s="6">
        <v>75.400000000000006</v>
      </c>
      <c r="P5" s="5" t="s">
        <v>50</v>
      </c>
      <c r="Q5" s="1"/>
      <c r="R5" s="1"/>
      <c r="AG5" s="3"/>
      <c r="AH5" s="3"/>
      <c r="AM5" s="2"/>
      <c r="AN5" s="2"/>
      <c r="AO5" s="2"/>
      <c r="AP5" s="2"/>
      <c r="AQ5" s="1"/>
      <c r="AR5" s="1"/>
    </row>
    <row r="6" spans="1:44" ht="15" customHeight="1" x14ac:dyDescent="0.45">
      <c r="A6" s="4" t="s">
        <v>1</v>
      </c>
      <c r="B6" s="223"/>
      <c r="C6" s="223"/>
      <c r="D6" s="223"/>
      <c r="E6" s="223"/>
      <c r="F6" s="223"/>
      <c r="G6" s="224"/>
      <c r="H6" s="101"/>
      <c r="I6" s="188" t="s">
        <v>38</v>
      </c>
      <c r="J6" s="189"/>
      <c r="K6" s="189"/>
      <c r="L6" s="189"/>
      <c r="M6" s="189"/>
      <c r="N6" s="189"/>
      <c r="O6" s="6">
        <f>IF(O7&gt;=12,0,IF(O7&gt;=11,1.9,IF(O7&gt;=10,6.6,"ERR")))</f>
        <v>0</v>
      </c>
      <c r="P6" s="5" t="s">
        <v>50</v>
      </c>
      <c r="Q6" s="1"/>
      <c r="R6" s="1"/>
      <c r="AG6" s="3"/>
      <c r="AH6" s="3"/>
      <c r="AM6" s="2"/>
      <c r="AN6" s="2"/>
      <c r="AO6" s="2"/>
      <c r="AP6" s="2"/>
      <c r="AQ6" s="1"/>
      <c r="AR6" s="1"/>
    </row>
    <row r="7" spans="1:44" ht="15" customHeight="1" x14ac:dyDescent="0.35">
      <c r="A7" s="221" t="s">
        <v>66</v>
      </c>
      <c r="B7" s="223"/>
      <c r="C7" s="223"/>
      <c r="D7" s="223"/>
      <c r="E7" s="223"/>
      <c r="F7" s="223"/>
      <c r="G7" s="224"/>
      <c r="H7" s="101"/>
      <c r="I7" s="188" t="s">
        <v>135</v>
      </c>
      <c r="J7" s="189"/>
      <c r="K7" s="189"/>
      <c r="L7" s="189"/>
      <c r="M7" s="189"/>
      <c r="N7" s="189"/>
      <c r="O7" s="41">
        <v>12</v>
      </c>
      <c r="P7" s="5" t="s">
        <v>6</v>
      </c>
      <c r="Q7" s="1"/>
      <c r="R7" s="1"/>
      <c r="AG7" s="3"/>
      <c r="AH7" s="3"/>
      <c r="AM7" s="2"/>
      <c r="AN7" s="2"/>
      <c r="AO7" s="2"/>
      <c r="AP7" s="2"/>
    </row>
    <row r="8" spans="1:44" ht="15" customHeight="1" x14ac:dyDescent="0.45">
      <c r="A8" s="221"/>
      <c r="B8" s="223"/>
      <c r="C8" s="223"/>
      <c r="D8" s="223"/>
      <c r="E8" s="223"/>
      <c r="F8" s="223"/>
      <c r="G8" s="224"/>
      <c r="H8" s="101"/>
      <c r="I8" s="188" t="s">
        <v>52</v>
      </c>
      <c r="J8" s="189"/>
      <c r="K8" s="189"/>
      <c r="L8" s="189"/>
      <c r="M8" s="189"/>
      <c r="N8" s="189"/>
      <c r="O8" s="6">
        <f>IF(O9&gt;=6,0,IF(O2=2,3.6-0.6*O9,IF(O2=3,2.4-0.4*O9,IF(O2=4,1.2-0.2*O9,0.6-0.1*O9))))</f>
        <v>1.5999999999999999</v>
      </c>
      <c r="P8" s="5" t="s">
        <v>50</v>
      </c>
      <c r="Q8" s="1"/>
      <c r="R8" s="1"/>
      <c r="AG8" s="3"/>
      <c r="AH8" s="3"/>
      <c r="AM8" s="2"/>
      <c r="AN8" s="2"/>
      <c r="AO8" s="2"/>
      <c r="AP8" s="2"/>
    </row>
    <row r="9" spans="1:44" ht="15" customHeight="1" x14ac:dyDescent="0.35">
      <c r="A9" s="221"/>
      <c r="B9" s="223"/>
      <c r="C9" s="223"/>
      <c r="D9" s="223"/>
      <c r="E9" s="223"/>
      <c r="F9" s="223"/>
      <c r="G9" s="224"/>
      <c r="H9" s="101"/>
      <c r="I9" s="188" t="s">
        <v>136</v>
      </c>
      <c r="J9" s="189"/>
      <c r="K9" s="189"/>
      <c r="L9" s="189"/>
      <c r="M9" s="189"/>
      <c r="N9" s="189"/>
      <c r="O9" s="41">
        <v>2</v>
      </c>
      <c r="P9" s="5" t="s">
        <v>6</v>
      </c>
      <c r="Q9" s="1"/>
      <c r="R9" s="1"/>
      <c r="AG9" s="3"/>
      <c r="AH9" s="3"/>
      <c r="AM9" s="2"/>
      <c r="AN9" s="2"/>
      <c r="AO9" s="2"/>
      <c r="AP9" s="2"/>
    </row>
    <row r="10" spans="1:44" ht="15" customHeight="1" x14ac:dyDescent="0.35">
      <c r="A10" s="221"/>
      <c r="B10" s="223"/>
      <c r="C10" s="223"/>
      <c r="D10" s="223"/>
      <c r="E10" s="223"/>
      <c r="F10" s="223"/>
      <c r="G10" s="224"/>
      <c r="H10" s="101"/>
      <c r="I10" s="188" t="s">
        <v>131</v>
      </c>
      <c r="J10" s="189"/>
      <c r="K10" s="189"/>
      <c r="L10" s="189"/>
      <c r="M10" s="189"/>
      <c r="N10" s="189"/>
      <c r="O10" s="6">
        <f>3.22*(O11/6)^0.84</f>
        <v>1.7988322922962743</v>
      </c>
      <c r="P10" s="5" t="s">
        <v>50</v>
      </c>
      <c r="Q10" s="1"/>
      <c r="R10" s="1"/>
      <c r="AG10" s="3"/>
      <c r="AH10" s="3"/>
      <c r="AM10" s="2"/>
      <c r="AN10" s="2"/>
      <c r="AO10" s="2"/>
      <c r="AP10" s="2"/>
    </row>
    <row r="11" spans="1:44" ht="15" customHeight="1" thickBot="1" x14ac:dyDescent="0.4">
      <c r="A11" s="222"/>
      <c r="B11" s="225"/>
      <c r="C11" s="225"/>
      <c r="D11" s="225"/>
      <c r="E11" s="225"/>
      <c r="F11" s="225"/>
      <c r="G11" s="226"/>
      <c r="H11" s="101"/>
      <c r="I11" s="188" t="s">
        <v>137</v>
      </c>
      <c r="J11" s="189"/>
      <c r="K11" s="189"/>
      <c r="L11" s="189"/>
      <c r="M11" s="189"/>
      <c r="N11" s="189"/>
      <c r="O11" s="41">
        <v>3</v>
      </c>
      <c r="P11" s="5"/>
      <c r="Q11" s="1"/>
      <c r="R11" s="1"/>
      <c r="AG11" s="3"/>
      <c r="AH11" s="3"/>
      <c r="AM11" s="2"/>
      <c r="AN11" s="2"/>
      <c r="AO11" s="2"/>
      <c r="AP11" s="2"/>
    </row>
    <row r="12" spans="1:44" ht="15" customHeight="1" thickBot="1" x14ac:dyDescent="0.4">
      <c r="B12" s="3"/>
      <c r="C12" s="150"/>
      <c r="D12" s="150"/>
      <c r="E12" s="150"/>
      <c r="F12" s="150"/>
      <c r="G12" s="150"/>
      <c r="H12" s="150"/>
      <c r="I12" s="188" t="s">
        <v>54</v>
      </c>
      <c r="J12" s="189"/>
      <c r="K12" s="189"/>
      <c r="L12" s="189"/>
      <c r="M12" s="189"/>
      <c r="N12" s="189"/>
      <c r="O12" s="41"/>
      <c r="P12" s="5" t="s">
        <v>50</v>
      </c>
      <c r="R12" s="1"/>
      <c r="AG12" s="3"/>
      <c r="AH12" s="3"/>
      <c r="AM12" s="2"/>
      <c r="AN12" s="2"/>
      <c r="AO12" s="2"/>
      <c r="AP12" s="2"/>
    </row>
    <row r="13" spans="1:44" ht="15" customHeight="1" x14ac:dyDescent="0.35">
      <c r="A13" s="208" t="s">
        <v>140</v>
      </c>
      <c r="B13" s="209"/>
      <c r="C13" s="209"/>
      <c r="D13" s="209"/>
      <c r="E13" s="209"/>
      <c r="F13" s="209"/>
      <c r="G13" s="210"/>
      <c r="H13" s="7"/>
      <c r="I13" s="188" t="s">
        <v>79</v>
      </c>
      <c r="J13" s="189"/>
      <c r="K13" s="189"/>
      <c r="L13" s="189"/>
      <c r="M13" s="189"/>
      <c r="N13" s="189"/>
      <c r="O13" s="6">
        <f>+O5-O6-O8-O10-O12</f>
        <v>72.001167707703743</v>
      </c>
      <c r="P13" s="5" t="s">
        <v>50</v>
      </c>
      <c r="Q13" s="1"/>
      <c r="R13" s="1"/>
      <c r="AG13" s="3"/>
      <c r="AH13" s="3"/>
      <c r="AM13" s="2"/>
      <c r="AN13" s="2"/>
      <c r="AO13" s="2"/>
      <c r="AP13" s="2"/>
    </row>
    <row r="14" spans="1:44" ht="15" customHeight="1" thickBot="1" x14ac:dyDescent="0.4">
      <c r="A14" s="188" t="s">
        <v>98</v>
      </c>
      <c r="B14" s="189"/>
      <c r="C14" s="189"/>
      <c r="D14" s="189"/>
      <c r="E14" s="189"/>
      <c r="F14" s="219" t="s">
        <v>57</v>
      </c>
      <c r="G14" s="220"/>
      <c r="H14" s="159"/>
      <c r="I14" s="203" t="s">
        <v>152</v>
      </c>
      <c r="J14" s="204"/>
      <c r="K14" s="204"/>
      <c r="L14" s="204"/>
      <c r="M14" s="204"/>
      <c r="N14" s="204"/>
      <c r="O14" s="8">
        <f>IF($O$13&gt;=75,2400,IF($O$13&gt;=70,2400,IF($O$13&gt;=65,2350,IF($O$13&gt;=60,2300,2250))))</f>
        <v>2400</v>
      </c>
      <c r="P14" s="9" t="s">
        <v>124</v>
      </c>
      <c r="Q14" s="1"/>
      <c r="R14" s="1"/>
      <c r="AG14" s="3"/>
      <c r="AH14" s="3"/>
      <c r="AM14" s="2"/>
      <c r="AN14" s="2"/>
      <c r="AO14" s="2"/>
      <c r="AP14" s="2"/>
    </row>
    <row r="15" spans="1:44" ht="15" customHeight="1" thickBot="1" x14ac:dyDescent="0.4">
      <c r="A15" s="213" t="s">
        <v>99</v>
      </c>
      <c r="B15" s="214"/>
      <c r="C15" s="214"/>
      <c r="D15" s="214"/>
      <c r="E15" s="214"/>
      <c r="F15" s="214"/>
      <c r="G15" s="215"/>
      <c r="H15" s="149"/>
      <c r="I15" s="1"/>
      <c r="J15" s="1"/>
      <c r="K15" s="1"/>
      <c r="L15" s="1"/>
      <c r="M15" s="1"/>
      <c r="N15" s="1"/>
      <c r="O15" s="1"/>
      <c r="P15" s="1"/>
      <c r="Q15" s="147"/>
      <c r="R15" s="1"/>
      <c r="AG15" s="3"/>
      <c r="AH15" s="3"/>
      <c r="AM15" s="2"/>
      <c r="AN15" s="2"/>
      <c r="AO15" s="2"/>
      <c r="AP15" s="2"/>
    </row>
    <row r="16" spans="1:44" ht="15" customHeight="1" x14ac:dyDescent="0.35">
      <c r="A16" s="192" t="s">
        <v>122</v>
      </c>
      <c r="B16" s="193"/>
      <c r="C16" s="193"/>
      <c r="D16" s="193"/>
      <c r="E16" s="193"/>
      <c r="F16" s="193"/>
      <c r="G16" s="194"/>
      <c r="H16" s="150"/>
      <c r="I16" s="208" t="s">
        <v>141</v>
      </c>
      <c r="J16" s="209"/>
      <c r="K16" s="209"/>
      <c r="L16" s="209"/>
      <c r="M16" s="209"/>
      <c r="N16" s="209"/>
      <c r="O16" s="209"/>
      <c r="P16" s="210"/>
      <c r="Q16" s="10"/>
      <c r="R16" s="1"/>
      <c r="AG16" s="3"/>
      <c r="AH16" s="3"/>
      <c r="AM16" s="2"/>
      <c r="AN16" s="2"/>
      <c r="AO16" s="2"/>
      <c r="AP16" s="2"/>
    </row>
    <row r="17" spans="1:42" ht="15" customHeight="1" x14ac:dyDescent="0.35">
      <c r="A17" s="216" t="s">
        <v>100</v>
      </c>
      <c r="B17" s="217"/>
      <c r="C17" s="217"/>
      <c r="D17" s="217"/>
      <c r="E17" s="217"/>
      <c r="F17" s="217"/>
      <c r="G17" s="218"/>
      <c r="H17" s="151"/>
      <c r="I17" s="188" t="s">
        <v>132</v>
      </c>
      <c r="J17" s="189"/>
      <c r="K17" s="189"/>
      <c r="L17" s="189"/>
      <c r="M17" s="189"/>
      <c r="N17" s="189"/>
      <c r="O17" s="189"/>
      <c r="P17" s="198"/>
      <c r="Q17" s="1"/>
      <c r="R17" s="1"/>
      <c r="S17" s="11"/>
      <c r="T17" s="147"/>
      <c r="U17" s="147"/>
      <c r="AG17" s="3"/>
      <c r="AH17" s="3"/>
      <c r="AM17" s="2"/>
      <c r="AN17" s="2"/>
      <c r="AO17" s="2"/>
      <c r="AP17" s="2"/>
    </row>
    <row r="18" spans="1:42" ht="15" customHeight="1" x14ac:dyDescent="0.35">
      <c r="A18" s="192" t="s">
        <v>97</v>
      </c>
      <c r="B18" s="193"/>
      <c r="C18" s="193"/>
      <c r="D18" s="193"/>
      <c r="E18" s="193"/>
      <c r="F18" s="211"/>
      <c r="G18" s="212"/>
      <c r="H18" s="159"/>
      <c r="I18" s="188" t="s">
        <v>111</v>
      </c>
      <c r="J18" s="189"/>
      <c r="K18" s="189"/>
      <c r="L18" s="189"/>
      <c r="M18" s="189"/>
      <c r="N18" s="189"/>
      <c r="O18" s="189"/>
      <c r="P18" s="198"/>
      <c r="Q18" s="1"/>
      <c r="R18" s="1"/>
      <c r="S18" s="11"/>
      <c r="T18" s="147"/>
      <c r="U18" s="147"/>
      <c r="AG18" s="3"/>
      <c r="AH18" s="3"/>
      <c r="AM18" s="2"/>
      <c r="AN18" s="2"/>
      <c r="AO18" s="2"/>
      <c r="AP18" s="2"/>
    </row>
    <row r="19" spans="1:42" ht="15" customHeight="1" x14ac:dyDescent="0.35">
      <c r="A19" s="192" t="s">
        <v>96</v>
      </c>
      <c r="B19" s="193"/>
      <c r="C19" s="193"/>
      <c r="D19" s="193"/>
      <c r="E19" s="193"/>
      <c r="F19" s="193"/>
      <c r="G19" s="194"/>
      <c r="H19" s="150"/>
      <c r="I19" s="188" t="s">
        <v>157</v>
      </c>
      <c r="J19" s="189"/>
      <c r="K19" s="189"/>
      <c r="L19" s="189"/>
      <c r="M19" s="189"/>
      <c r="N19" s="189"/>
      <c r="O19" s="120">
        <v>-400</v>
      </c>
      <c r="P19" s="13" t="s">
        <v>124</v>
      </c>
      <c r="Q19" s="147"/>
      <c r="R19" s="1"/>
      <c r="S19" s="11"/>
      <c r="T19" s="147"/>
      <c r="U19" s="147"/>
      <c r="AG19" s="3"/>
      <c r="AH19" s="3"/>
      <c r="AM19" s="2"/>
      <c r="AN19" s="2"/>
      <c r="AO19" s="2"/>
      <c r="AP19" s="2"/>
    </row>
    <row r="20" spans="1:42" ht="15" customHeight="1" x14ac:dyDescent="0.45">
      <c r="A20" s="188" t="s">
        <v>103</v>
      </c>
      <c r="B20" s="189"/>
      <c r="C20" s="189"/>
      <c r="D20" s="189"/>
      <c r="E20" s="211" t="s">
        <v>89</v>
      </c>
      <c r="F20" s="211"/>
      <c r="G20" s="212"/>
      <c r="H20" s="159"/>
      <c r="I20" s="188" t="s">
        <v>133</v>
      </c>
      <c r="J20" s="189"/>
      <c r="K20" s="189"/>
      <c r="L20" s="189"/>
      <c r="M20" s="189"/>
      <c r="N20" s="189"/>
      <c r="O20" s="189"/>
      <c r="P20" s="198"/>
      <c r="Q20" s="1"/>
      <c r="R20" s="1"/>
      <c r="S20" s="11"/>
      <c r="T20" s="147"/>
      <c r="U20" s="147"/>
      <c r="AG20" s="3"/>
      <c r="AH20" s="3"/>
      <c r="AM20" s="2"/>
      <c r="AN20" s="2"/>
      <c r="AO20" s="2"/>
      <c r="AP20" s="2"/>
    </row>
    <row r="21" spans="1:42" ht="15" customHeight="1" x14ac:dyDescent="0.45">
      <c r="A21" s="188" t="s">
        <v>104</v>
      </c>
      <c r="B21" s="189"/>
      <c r="C21" s="189"/>
      <c r="D21" s="189"/>
      <c r="E21" s="211" t="s">
        <v>68</v>
      </c>
      <c r="F21" s="211"/>
      <c r="G21" s="212"/>
      <c r="H21" s="159"/>
      <c r="I21" s="188" t="s">
        <v>109</v>
      </c>
      <c r="J21" s="189"/>
      <c r="K21" s="189"/>
      <c r="L21" s="189"/>
      <c r="M21" s="189"/>
      <c r="N21" s="189"/>
      <c r="O21" s="189"/>
      <c r="P21" s="198"/>
      <c r="R21" s="1"/>
      <c r="S21" s="11"/>
      <c r="T21" s="147"/>
      <c r="U21" s="147"/>
      <c r="AG21" s="3"/>
      <c r="AH21" s="3"/>
      <c r="AM21" s="2"/>
      <c r="AN21" s="2"/>
      <c r="AO21" s="2"/>
      <c r="AP21" s="2"/>
    </row>
    <row r="22" spans="1:42" ht="15" customHeight="1" thickBot="1" x14ac:dyDescent="0.4">
      <c r="A22" s="188" t="s">
        <v>95</v>
      </c>
      <c r="B22" s="189"/>
      <c r="C22" s="189"/>
      <c r="D22" s="189"/>
      <c r="E22" s="189"/>
      <c r="F22" s="189"/>
      <c r="G22" s="198"/>
      <c r="H22" s="147"/>
      <c r="I22" s="203" t="s">
        <v>113</v>
      </c>
      <c r="J22" s="204"/>
      <c r="K22" s="204"/>
      <c r="L22" s="204"/>
      <c r="M22" s="204"/>
      <c r="N22" s="204"/>
      <c r="O22" s="204"/>
      <c r="P22" s="205"/>
      <c r="Q22" s="1"/>
      <c r="R22" s="1"/>
      <c r="S22" s="11"/>
      <c r="T22" s="147"/>
      <c r="U22" s="147"/>
      <c r="AG22" s="3"/>
      <c r="AH22" s="3"/>
      <c r="AM22" s="2"/>
      <c r="AN22" s="2"/>
      <c r="AO22" s="2"/>
      <c r="AP22" s="2"/>
    </row>
    <row r="23" spans="1:42" ht="15" customHeight="1" thickBot="1" x14ac:dyDescent="0.5">
      <c r="A23" s="192" t="s">
        <v>101</v>
      </c>
      <c r="B23" s="193"/>
      <c r="C23" s="193"/>
      <c r="D23" s="193"/>
      <c r="E23" s="193"/>
      <c r="F23" s="206">
        <v>5</v>
      </c>
      <c r="G23" s="207"/>
      <c r="H23" s="102"/>
      <c r="I23" s="1"/>
      <c r="J23" s="1"/>
      <c r="K23" s="1"/>
      <c r="L23" s="1"/>
      <c r="M23" s="1"/>
      <c r="N23" s="1"/>
      <c r="O23" s="1"/>
      <c r="P23" s="1"/>
      <c r="Q23" s="12"/>
      <c r="R23" s="1"/>
      <c r="S23" s="11"/>
      <c r="T23" s="147"/>
      <c r="U23" s="147"/>
      <c r="AG23" s="3"/>
      <c r="AH23" s="3"/>
      <c r="AM23" s="2"/>
      <c r="AN23" s="2"/>
      <c r="AO23" s="2"/>
      <c r="AP23" s="2"/>
    </row>
    <row r="24" spans="1:42" ht="15" customHeight="1" x14ac:dyDescent="0.45">
      <c r="A24" s="188" t="s">
        <v>129</v>
      </c>
      <c r="B24" s="189"/>
      <c r="C24" s="189"/>
      <c r="D24" s="189"/>
      <c r="E24" s="189"/>
      <c r="F24" s="189"/>
      <c r="G24" s="198"/>
      <c r="H24" s="1"/>
      <c r="I24" s="208" t="s">
        <v>142</v>
      </c>
      <c r="J24" s="209"/>
      <c r="K24" s="209"/>
      <c r="L24" s="209"/>
      <c r="M24" s="209"/>
      <c r="N24" s="209"/>
      <c r="O24" s="209"/>
      <c r="P24" s="210"/>
      <c r="Q24" s="11"/>
      <c r="R24" s="1"/>
      <c r="S24" s="11"/>
      <c r="T24" s="147"/>
      <c r="U24" s="147"/>
      <c r="AG24" s="3"/>
      <c r="AH24" s="3"/>
      <c r="AM24" s="2"/>
      <c r="AN24" s="2"/>
      <c r="AO24" s="2"/>
      <c r="AP24" s="2"/>
    </row>
    <row r="25" spans="1:42" ht="15" customHeight="1" x14ac:dyDescent="0.35">
      <c r="A25" s="188" t="s">
        <v>126</v>
      </c>
      <c r="B25" s="189"/>
      <c r="C25" s="189"/>
      <c r="D25" s="189"/>
      <c r="E25" s="189"/>
      <c r="F25" s="190">
        <v>1000</v>
      </c>
      <c r="G25" s="191"/>
      <c r="H25" s="103"/>
      <c r="I25" s="188" t="s">
        <v>153</v>
      </c>
      <c r="J25" s="189"/>
      <c r="K25" s="189"/>
      <c r="L25" s="189"/>
      <c r="M25" s="189"/>
      <c r="N25" s="189"/>
      <c r="O25" s="6">
        <v>20</v>
      </c>
      <c r="P25" s="13" t="s">
        <v>6</v>
      </c>
      <c r="Q25" s="11"/>
      <c r="R25" s="1"/>
      <c r="S25" s="11"/>
      <c r="T25" s="147"/>
      <c r="U25" s="147"/>
      <c r="AG25" s="3"/>
      <c r="AH25" s="3"/>
      <c r="AM25" s="2"/>
      <c r="AN25" s="2"/>
      <c r="AO25" s="2"/>
      <c r="AP25" s="2"/>
    </row>
    <row r="26" spans="1:42" ht="15" customHeight="1" x14ac:dyDescent="0.35">
      <c r="A26" s="192" t="s">
        <v>130</v>
      </c>
      <c r="B26" s="193"/>
      <c r="C26" s="193"/>
      <c r="D26" s="193"/>
      <c r="E26" s="193"/>
      <c r="F26" s="193"/>
      <c r="G26" s="194"/>
      <c r="H26" s="150"/>
      <c r="I26" s="188" t="s">
        <v>156</v>
      </c>
      <c r="J26" s="189"/>
      <c r="K26" s="189"/>
      <c r="L26" s="189"/>
      <c r="M26" s="189"/>
      <c r="N26" s="189"/>
      <c r="O26" s="189"/>
      <c r="P26" s="198"/>
      <c r="Q26" s="1"/>
      <c r="R26" s="1"/>
      <c r="S26" s="11"/>
      <c r="T26" s="147"/>
      <c r="U26" s="147"/>
      <c r="AG26" s="3"/>
      <c r="AH26" s="3"/>
      <c r="AM26" s="2"/>
      <c r="AN26" s="2"/>
      <c r="AO26" s="2"/>
      <c r="AP26" s="2"/>
    </row>
    <row r="27" spans="1:42" ht="15" customHeight="1" thickBot="1" x14ac:dyDescent="0.4">
      <c r="A27" s="195"/>
      <c r="B27" s="196"/>
      <c r="C27" s="196"/>
      <c r="D27" s="196"/>
      <c r="E27" s="196"/>
      <c r="F27" s="196"/>
      <c r="G27" s="197"/>
      <c r="H27" s="150"/>
      <c r="I27" s="14"/>
      <c r="J27" s="199" t="s">
        <v>159</v>
      </c>
      <c r="K27" s="199"/>
      <c r="L27" s="200"/>
      <c r="M27" s="200"/>
      <c r="N27" s="200"/>
      <c r="O27" s="201" t="s">
        <v>158</v>
      </c>
      <c r="P27" s="202"/>
      <c r="Q27" s="1"/>
      <c r="R27" s="1"/>
      <c r="S27" s="11"/>
      <c r="T27" s="147"/>
      <c r="U27" s="147"/>
      <c r="AG27" s="3"/>
      <c r="AH27" s="3"/>
      <c r="AM27" s="2"/>
      <c r="AN27" s="2"/>
      <c r="AO27" s="2"/>
      <c r="AP27" s="2"/>
    </row>
    <row r="28" spans="1:42" ht="15" customHeight="1" thickBot="1" x14ac:dyDescent="0.4">
      <c r="K28" s="1"/>
      <c r="V28" s="11"/>
      <c r="W28" s="147"/>
      <c r="X28" s="147"/>
      <c r="AP28" s="2"/>
    </row>
    <row r="29" spans="1:42" ht="15" customHeight="1" x14ac:dyDescent="0.35">
      <c r="A29" s="177" t="s">
        <v>151</v>
      </c>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9"/>
      <c r="AP29" s="2"/>
    </row>
    <row r="30" spans="1:42" ht="15" customHeight="1" x14ac:dyDescent="0.35">
      <c r="A30" s="65"/>
      <c r="B30" s="180" t="s">
        <v>144</v>
      </c>
      <c r="C30" s="181"/>
      <c r="D30" s="181"/>
      <c r="E30" s="181"/>
      <c r="F30" s="181"/>
      <c r="G30" s="181"/>
      <c r="H30" s="181"/>
      <c r="I30" s="181"/>
      <c r="J30" s="181"/>
      <c r="K30" s="181"/>
      <c r="L30" s="181"/>
      <c r="M30" s="180" t="s">
        <v>143</v>
      </c>
      <c r="N30" s="181"/>
      <c r="O30" s="181"/>
      <c r="P30" s="181"/>
      <c r="Q30" s="182"/>
      <c r="R30" s="180" t="s">
        <v>145</v>
      </c>
      <c r="S30" s="181"/>
      <c r="T30" s="181"/>
      <c r="U30" s="181"/>
      <c r="V30" s="181"/>
      <c r="W30" s="181"/>
      <c r="X30" s="181"/>
      <c r="Y30" s="181"/>
      <c r="Z30" s="181"/>
      <c r="AA30" s="181"/>
      <c r="AB30" s="181"/>
      <c r="AC30" s="183"/>
      <c r="AE30" s="3"/>
      <c r="AF30" s="3"/>
      <c r="AG30" s="3"/>
      <c r="AH30" s="3"/>
      <c r="AI30" s="2"/>
      <c r="AJ30" s="2"/>
      <c r="AK30" s="2"/>
      <c r="AL30" s="2"/>
      <c r="AM30" s="2"/>
      <c r="AN30" s="2"/>
      <c r="AO30" s="2"/>
      <c r="AP30" s="2"/>
    </row>
    <row r="31" spans="1:42" ht="15" customHeight="1" x14ac:dyDescent="0.45">
      <c r="A31" s="66"/>
      <c r="B31" s="49" t="s">
        <v>5</v>
      </c>
      <c r="C31" s="172" t="s">
        <v>59</v>
      </c>
      <c r="D31" s="184"/>
      <c r="E31" s="173"/>
      <c r="F31" s="49" t="s">
        <v>60</v>
      </c>
      <c r="G31" s="185" t="s">
        <v>94</v>
      </c>
      <c r="H31" s="186"/>
      <c r="I31" s="154" t="s">
        <v>105</v>
      </c>
      <c r="J31" s="49" t="s">
        <v>77</v>
      </c>
      <c r="K31" s="184" t="s">
        <v>7</v>
      </c>
      <c r="L31" s="184"/>
      <c r="M31" s="49" t="s">
        <v>9</v>
      </c>
      <c r="N31" s="153" t="s">
        <v>9</v>
      </c>
      <c r="O31" s="49" t="s">
        <v>83</v>
      </c>
      <c r="P31" s="153" t="s">
        <v>112</v>
      </c>
      <c r="Q31" s="58" t="s">
        <v>11</v>
      </c>
      <c r="R31" s="168" t="s">
        <v>45</v>
      </c>
      <c r="S31" s="169"/>
      <c r="T31" s="187"/>
      <c r="U31" s="168" t="s">
        <v>46</v>
      </c>
      <c r="V31" s="169"/>
      <c r="W31" s="187"/>
      <c r="X31" s="168" t="s">
        <v>47</v>
      </c>
      <c r="Y31" s="169"/>
      <c r="Z31" s="187"/>
      <c r="AA31" s="168" t="s">
        <v>48</v>
      </c>
      <c r="AB31" s="169"/>
      <c r="AC31" s="170"/>
      <c r="AD31" s="159"/>
      <c r="AE31" s="171" t="s">
        <v>128</v>
      </c>
      <c r="AF31" s="171"/>
      <c r="AG31" s="171"/>
      <c r="AH31" s="171"/>
      <c r="AI31" s="2"/>
      <c r="AJ31" s="2"/>
      <c r="AK31" s="2"/>
      <c r="AL31" s="2"/>
      <c r="AM31" s="2"/>
      <c r="AN31" s="2"/>
      <c r="AO31" s="2"/>
      <c r="AP31" s="2"/>
    </row>
    <row r="32" spans="1:42" ht="15" customHeight="1" x14ac:dyDescent="0.35">
      <c r="A32" s="66"/>
      <c r="B32" s="50" t="s">
        <v>121</v>
      </c>
      <c r="C32" s="49" t="s">
        <v>57</v>
      </c>
      <c r="D32" s="172" t="s">
        <v>58</v>
      </c>
      <c r="E32" s="173"/>
      <c r="F32" s="50" t="s">
        <v>61</v>
      </c>
      <c r="G32" s="174" t="s">
        <v>12</v>
      </c>
      <c r="H32" s="175"/>
      <c r="I32" s="51" t="s">
        <v>39</v>
      </c>
      <c r="J32" s="50" t="s">
        <v>43</v>
      </c>
      <c r="K32" s="154" t="s">
        <v>119</v>
      </c>
      <c r="L32" s="153" t="s">
        <v>106</v>
      </c>
      <c r="M32" s="50" t="s">
        <v>42</v>
      </c>
      <c r="N32" s="53" t="s">
        <v>42</v>
      </c>
      <c r="O32" s="50" t="s">
        <v>84</v>
      </c>
      <c r="P32" s="53" t="s">
        <v>3</v>
      </c>
      <c r="Q32" s="50" t="s">
        <v>154</v>
      </c>
      <c r="R32" s="49" t="s">
        <v>117</v>
      </c>
      <c r="S32" s="49" t="s">
        <v>74</v>
      </c>
      <c r="T32" s="49" t="s">
        <v>75</v>
      </c>
      <c r="U32" s="49" t="s">
        <v>117</v>
      </c>
      <c r="V32" s="154" t="s">
        <v>74</v>
      </c>
      <c r="W32" s="49" t="s">
        <v>75</v>
      </c>
      <c r="X32" s="49" t="s">
        <v>117</v>
      </c>
      <c r="Y32" s="49" t="s">
        <v>74</v>
      </c>
      <c r="Z32" s="49" t="s">
        <v>75</v>
      </c>
      <c r="AA32" s="49" t="s">
        <v>117</v>
      </c>
      <c r="AB32" s="49" t="s">
        <v>74</v>
      </c>
      <c r="AC32" s="52" t="s">
        <v>75</v>
      </c>
      <c r="AD32" s="152"/>
      <c r="AE32" s="176" t="s">
        <v>45</v>
      </c>
      <c r="AF32" s="176" t="s">
        <v>46</v>
      </c>
      <c r="AG32" s="176" t="s">
        <v>47</v>
      </c>
      <c r="AH32" s="176" t="s">
        <v>48</v>
      </c>
      <c r="AI32" s="2"/>
      <c r="AJ32" s="2"/>
      <c r="AK32" s="2"/>
      <c r="AL32" s="2"/>
      <c r="AM32" s="2"/>
      <c r="AN32" s="2"/>
      <c r="AO32" s="2"/>
      <c r="AP32" s="2"/>
    </row>
    <row r="33" spans="1:42" ht="15" customHeight="1" x14ac:dyDescent="0.45">
      <c r="A33" s="67" t="s">
        <v>2</v>
      </c>
      <c r="B33" s="50" t="s">
        <v>8</v>
      </c>
      <c r="C33" s="54"/>
      <c r="D33" s="49" t="s">
        <v>69</v>
      </c>
      <c r="E33" s="49" t="s">
        <v>123</v>
      </c>
      <c r="F33" s="50" t="s">
        <v>8</v>
      </c>
      <c r="G33" s="153" t="s">
        <v>62</v>
      </c>
      <c r="H33" s="49" t="s">
        <v>41</v>
      </c>
      <c r="I33" s="51" t="s">
        <v>62</v>
      </c>
      <c r="J33" s="50" t="s">
        <v>44</v>
      </c>
      <c r="K33" s="51" t="s">
        <v>120</v>
      </c>
      <c r="L33" s="53" t="s">
        <v>3</v>
      </c>
      <c r="M33" s="50" t="s">
        <v>4</v>
      </c>
      <c r="N33" s="53" t="s">
        <v>73</v>
      </c>
      <c r="O33" s="50" t="s">
        <v>114</v>
      </c>
      <c r="P33" s="53" t="s">
        <v>115</v>
      </c>
      <c r="Q33" s="59" t="s">
        <v>107</v>
      </c>
      <c r="R33" s="50" t="s">
        <v>82</v>
      </c>
      <c r="S33" s="50" t="s">
        <v>81</v>
      </c>
      <c r="T33" s="50" t="s">
        <v>146</v>
      </c>
      <c r="U33" s="50" t="s">
        <v>82</v>
      </c>
      <c r="V33" s="51" t="s">
        <v>81</v>
      </c>
      <c r="W33" s="50" t="s">
        <v>146</v>
      </c>
      <c r="X33" s="50" t="s">
        <v>82</v>
      </c>
      <c r="Y33" s="50" t="s">
        <v>81</v>
      </c>
      <c r="Z33" s="50" t="s">
        <v>146</v>
      </c>
      <c r="AA33" s="50" t="s">
        <v>82</v>
      </c>
      <c r="AB33" s="50" t="s">
        <v>81</v>
      </c>
      <c r="AC33" s="55" t="s">
        <v>146</v>
      </c>
      <c r="AD33" s="152"/>
      <c r="AE33" s="176"/>
      <c r="AF33" s="176"/>
      <c r="AG33" s="176"/>
      <c r="AH33" s="176"/>
      <c r="AI33" s="2"/>
      <c r="AJ33" s="2"/>
      <c r="AK33" s="2"/>
      <c r="AL33" s="2"/>
      <c r="AM33" s="2"/>
      <c r="AN33" s="2"/>
      <c r="AO33" s="2"/>
      <c r="AP33" s="2"/>
    </row>
    <row r="34" spans="1:42" ht="15" customHeight="1" x14ac:dyDescent="0.45">
      <c r="A34" s="68" t="s">
        <v>49</v>
      </c>
      <c r="B34" s="56" t="s">
        <v>80</v>
      </c>
      <c r="C34" s="50" t="s">
        <v>12</v>
      </c>
      <c r="D34" s="50" t="s">
        <v>12</v>
      </c>
      <c r="E34" s="50" t="s">
        <v>12</v>
      </c>
      <c r="F34" s="50" t="s">
        <v>80</v>
      </c>
      <c r="G34" s="155" t="s">
        <v>12</v>
      </c>
      <c r="H34" s="56" t="s">
        <v>12</v>
      </c>
      <c r="I34" s="51" t="s">
        <v>40</v>
      </c>
      <c r="J34" s="50" t="s">
        <v>125</v>
      </c>
      <c r="K34" s="156" t="s">
        <v>155</v>
      </c>
      <c r="L34" s="53" t="s">
        <v>125</v>
      </c>
      <c r="M34" s="56" t="s">
        <v>107</v>
      </c>
      <c r="N34" s="53" t="s">
        <v>108</v>
      </c>
      <c r="O34" s="56" t="s">
        <v>116</v>
      </c>
      <c r="P34" s="155" t="s">
        <v>125</v>
      </c>
      <c r="Q34" s="50" t="s">
        <v>125</v>
      </c>
      <c r="R34" s="56" t="s">
        <v>127</v>
      </c>
      <c r="S34" s="56" t="s">
        <v>76</v>
      </c>
      <c r="T34" s="56" t="s">
        <v>150</v>
      </c>
      <c r="U34" s="56" t="s">
        <v>127</v>
      </c>
      <c r="V34" s="156" t="s">
        <v>76</v>
      </c>
      <c r="W34" s="56" t="s">
        <v>150</v>
      </c>
      <c r="X34" s="56" t="s">
        <v>127</v>
      </c>
      <c r="Y34" s="56" t="s">
        <v>76</v>
      </c>
      <c r="Z34" s="56" t="s">
        <v>150</v>
      </c>
      <c r="AA34" s="56" t="s">
        <v>127</v>
      </c>
      <c r="AB34" s="56" t="s">
        <v>76</v>
      </c>
      <c r="AC34" s="57" t="s">
        <v>150</v>
      </c>
      <c r="AD34" s="159"/>
      <c r="AE34" s="18" t="s">
        <v>51</v>
      </c>
      <c r="AF34" s="18" t="s">
        <v>51</v>
      </c>
      <c r="AG34" s="18" t="s">
        <v>51</v>
      </c>
      <c r="AH34" s="18" t="s">
        <v>51</v>
      </c>
      <c r="AI34" s="2"/>
      <c r="AJ34" s="2"/>
      <c r="AK34" s="2"/>
      <c r="AL34" s="2"/>
      <c r="AM34" s="2"/>
      <c r="AN34" s="2"/>
      <c r="AO34" s="2"/>
      <c r="AP34" s="2"/>
    </row>
    <row r="35" spans="1:42" ht="15.65" customHeight="1" x14ac:dyDescent="0.35">
      <c r="A35" s="69" t="s">
        <v>14</v>
      </c>
      <c r="B35" s="131">
        <v>500</v>
      </c>
      <c r="C35" s="19" t="str">
        <f>IF($F$14="","",IF($F$14="Hourly","",IF($E$20="","",(IF($E$20="User Defined",AADT!B6,IF($E$20="Urban",AADT!E6,IF($E$20="Rural",AADT!H6,"ERR")))))))</f>
        <v/>
      </c>
      <c r="D35" s="157" t="str">
        <f>IF($F$14="","",IF($F$14="Hourly","",IF($E$20="","",(IF($E$20="User Defined",AADT!C6,IF($E$20="Urban",AADT!F6,IF($E$20="Rural",AADT!I6,"ERR")))))))</f>
        <v/>
      </c>
      <c r="E35" s="15" t="str">
        <f>IF($F$14="","",IF($F$14="Hourly","",IF($E$20="","",(IF($E$20="User Defined",AADT!D6,IF($E$20="Urban",AADT!G6,IF($E$20="Rural",AADT!J6,"ERR")))))))</f>
        <v/>
      </c>
      <c r="F35" s="104" t="str">
        <f>IF($F$14="AADT",IF($F$18="","",(IF($E$20="","",(IF($E$21="","",(IF($E$21="Upstation",+$F$18*(C35/100)*(D35/100),IF($E$21="Downstation",+$F$18*(C35/100)*(E35/100),"-")))))))),"")</f>
        <v/>
      </c>
      <c r="G35" s="107"/>
      <c r="H35" s="20">
        <f t="shared" ref="H35:H58" si="0">$F$23+G35</f>
        <v>5</v>
      </c>
      <c r="I35" s="21">
        <f t="shared" ref="I35:I58" si="1">1/(1+(H35/100)*($O$4-1))</f>
        <v>0.97560975609756106</v>
      </c>
      <c r="J35" s="22">
        <f>IF($F$14="",0,IF($F$14="Hourly",B35/I35,IF($F$18="",0,IF($E$20="",0,IF($E$21="",0,F35/I35)))))</f>
        <v>512.5</v>
      </c>
      <c r="K35" s="42"/>
      <c r="L35" s="22">
        <f t="shared" ref="L35:L58" si="2">IF($F$14="",0,IF(J35&gt;$F$25,$F$25+(J35-$F$25)*(1-K35/100),J35))</f>
        <v>512.5</v>
      </c>
      <c r="M35" s="42">
        <v>1</v>
      </c>
      <c r="N35" s="15">
        <f t="shared" ref="N35:N58" si="3">$O$2-M35</f>
        <v>2</v>
      </c>
      <c r="O35" s="43"/>
      <c r="P35" s="44"/>
      <c r="Q35" s="22">
        <f t="shared" ref="Q35:Q58" si="4">IF(M35&gt;0,(1600+O35+$O$19)*(N35)-P35,"")</f>
        <v>2400</v>
      </c>
      <c r="R35" s="104">
        <f>IF(J35&gt;($O$14*$O$2),J35-($O$14*$O$2),0)</f>
        <v>0</v>
      </c>
      <c r="S35" s="20">
        <f t="shared" ref="S35:S58" si="5">+(R35*$O$25/5280)/$O$2</f>
        <v>0</v>
      </c>
      <c r="T35" s="20">
        <f>+R35*0.5</f>
        <v>0</v>
      </c>
      <c r="U35" s="22">
        <f>IF(L35&gt;($O$14*$O$2),L35-($O$14*$O$2),0)</f>
        <v>0</v>
      </c>
      <c r="V35" s="20">
        <f t="shared" ref="V35:V58" si="6">+(U35*$O$25/5280)/$O$2</f>
        <v>0</v>
      </c>
      <c r="W35" s="20">
        <f>+U35*0.5</f>
        <v>0</v>
      </c>
      <c r="X35" s="22">
        <f>IF(J35&gt;MIN(($O$14*$O$2),Q35),J35-MIN(($O$14*$O$2),Q35),0)</f>
        <v>0</v>
      </c>
      <c r="Y35" s="20">
        <f t="shared" ref="Y35:Y58" si="7">+(X35*$O$25/5280)/$O$2</f>
        <v>0</v>
      </c>
      <c r="Z35" s="20">
        <f>+X35*0.5</f>
        <v>0</v>
      </c>
      <c r="AA35" s="22">
        <f>IF(L35&gt;MIN(($O$14*$O$2),Q35),L35-MIN(($O$14*$O$2),Q35),0)</f>
        <v>0</v>
      </c>
      <c r="AB35" s="20">
        <f t="shared" ref="AB35:AB58" si="8">+(AA35*$O$25/5280)/$O$2</f>
        <v>0</v>
      </c>
      <c r="AC35" s="23">
        <f>+AA35*0.5</f>
        <v>0</v>
      </c>
      <c r="AD35" s="24"/>
      <c r="AE35" s="25">
        <f>H35</f>
        <v>5</v>
      </c>
      <c r="AF35" s="25">
        <f>+H35</f>
        <v>5</v>
      </c>
      <c r="AG35" s="25">
        <f>+H35</f>
        <v>5</v>
      </c>
      <c r="AH35" s="25">
        <f>+H35</f>
        <v>5</v>
      </c>
      <c r="AI35" s="2"/>
      <c r="AJ35" s="2"/>
      <c r="AK35" s="2"/>
      <c r="AL35" s="2"/>
      <c r="AM35" s="2"/>
      <c r="AN35" s="2"/>
      <c r="AO35" s="2"/>
      <c r="AP35" s="2"/>
    </row>
    <row r="36" spans="1:42" ht="15.65" customHeight="1" x14ac:dyDescent="0.35">
      <c r="A36" s="70" t="s">
        <v>15</v>
      </c>
      <c r="B36" s="131">
        <v>600</v>
      </c>
      <c r="C36" s="26" t="str">
        <f>IF($F$14="","",IF($F$14="Hourly","",IF($E$20="","",(IF($E$20="User Defined",AADT!B7,IF($E$20="Urban",AADT!E7,IF($E$20="Rural",AADT!H7,"ERR")))))))</f>
        <v/>
      </c>
      <c r="D36" s="158" t="str">
        <f>IF($F$14="","",IF($F$14="Hourly","",IF($E$20="","",(IF($E$20="User Defined",AADT!C7,IF($E$20="Urban",AADT!F7,IF($E$20="Rural",AADT!I7,"ERR")))))))</f>
        <v/>
      </c>
      <c r="E36" s="16" t="str">
        <f>IF($F$14="","",IF($F$14="Hourly","",IF($E$20="","",(IF($E$20="User Defined",AADT!D7,IF($E$20="Urban",AADT!G7,IF($E$20="Rural",AADT!J7,"ERR")))))))</f>
        <v/>
      </c>
      <c r="F36" s="105" t="str">
        <f t="shared" ref="F36:F58" si="9">IF($F$14="AADT",IF($F$18="","",(IF($E$20="","",(IF($E$21="","",(IF($E$21="Upstation",+$F$18*(C36/100)*(D36/100),IF($E$21="Downstation",+$F$18*(C36/100)*(E36/100),"-")))))))),"")</f>
        <v/>
      </c>
      <c r="G36" s="108"/>
      <c r="H36" s="27">
        <f t="shared" si="0"/>
        <v>5</v>
      </c>
      <c r="I36" s="28">
        <f t="shared" si="1"/>
        <v>0.97560975609756106</v>
      </c>
      <c r="J36" s="29">
        <f t="shared" ref="J36:J58" si="10">IF($F$14="",0,IF($F$14="Hourly",B36/I36,IF($F$18="",0,IF($E$20="",0,IF($E$21="",0,F36/I36)))))</f>
        <v>615</v>
      </c>
      <c r="K36" s="148"/>
      <c r="L36" s="29">
        <f t="shared" si="2"/>
        <v>615</v>
      </c>
      <c r="M36" s="148">
        <v>1</v>
      </c>
      <c r="N36" s="16">
        <f t="shared" si="3"/>
        <v>2</v>
      </c>
      <c r="O36" s="45"/>
      <c r="P36" s="46"/>
      <c r="Q36" s="29">
        <f t="shared" si="4"/>
        <v>2400</v>
      </c>
      <c r="R36" s="105">
        <f t="shared" ref="R36:R58" si="11">IF(R35+J36&gt;($O$14*$O$2),R35+J36-($O$14*$O$2),0)</f>
        <v>0</v>
      </c>
      <c r="S36" s="27">
        <f t="shared" si="5"/>
        <v>0</v>
      </c>
      <c r="T36" s="27">
        <f>+MIN(R35:R36)+0.5*AVERAGE(R35:R36)</f>
        <v>0</v>
      </c>
      <c r="U36" s="29">
        <f t="shared" ref="U36:U58" si="12">IF(U35+L36&gt;($O$14*$O$2),U35+L36-($O$14*$O$2),0)</f>
        <v>0</v>
      </c>
      <c r="V36" s="27">
        <f t="shared" si="6"/>
        <v>0</v>
      </c>
      <c r="W36" s="27">
        <f>+MIN(U35:U36)+0.5*AVERAGE(U35:U36)</f>
        <v>0</v>
      </c>
      <c r="X36" s="29">
        <f t="shared" ref="X36:X58" si="13">IF((X35+J36)&gt;MIN(($O$14*$O$2),Q36),(X35+J36)-MIN(($O$14*$O$2),Q36),0)</f>
        <v>0</v>
      </c>
      <c r="Y36" s="27">
        <f t="shared" si="7"/>
        <v>0</v>
      </c>
      <c r="Z36" s="27">
        <f>+MIN(X35:X36)+0.5*AVERAGE(X35:X36)</f>
        <v>0</v>
      </c>
      <c r="AA36" s="29">
        <f t="shared" ref="AA36:AA58" si="14">IF((AA35+L36)&gt;MIN(($O$14*$O$2),Q36),(AA35+L36)-MIN(($O$14*$O$2),Q36),0)</f>
        <v>0</v>
      </c>
      <c r="AB36" s="27">
        <f t="shared" si="8"/>
        <v>0</v>
      </c>
      <c r="AC36" s="30">
        <f>+MIN(AA35:AA36)+0.5*AVERAGE(AA35:AA36)</f>
        <v>0</v>
      </c>
      <c r="AD36" s="24"/>
      <c r="AE36" s="25">
        <f>IF(R35=0,H36,AVERAGE(H35:H36))</f>
        <v>5</v>
      </c>
      <c r="AF36" s="25">
        <f>IF(U35=0,H36,AVERAGE(H35:H36))</f>
        <v>5</v>
      </c>
      <c r="AG36" s="25">
        <f>IF(X35=0,H36,AVERAGE(H35:H36))</f>
        <v>5</v>
      </c>
      <c r="AH36" s="25">
        <f>IF(AA35=0,H36,AVERAGE(H35:H36))</f>
        <v>5</v>
      </c>
      <c r="AI36" s="2"/>
      <c r="AJ36" s="2"/>
      <c r="AK36" s="2"/>
      <c r="AL36" s="2"/>
      <c r="AM36" s="2"/>
      <c r="AN36" s="2"/>
      <c r="AO36" s="2"/>
      <c r="AP36" s="2"/>
    </row>
    <row r="37" spans="1:42" ht="15.65" customHeight="1" x14ac:dyDescent="0.35">
      <c r="A37" s="70" t="s">
        <v>16</v>
      </c>
      <c r="B37" s="131">
        <v>600</v>
      </c>
      <c r="C37" s="26" t="str">
        <f>IF($F$14="","",IF($F$14="Hourly","",IF($E$20="","",(IF($E$20="User Defined",AADT!B8,IF($E$20="Urban",AADT!E8,IF($E$20="Rural",AADT!H8,"ERR")))))))</f>
        <v/>
      </c>
      <c r="D37" s="158" t="str">
        <f>IF($F$14="","",IF($F$14="Hourly","",IF($E$20="","",(IF($E$20="User Defined",AADT!C8,IF($E$20="Urban",AADT!F8,IF($E$20="Rural",AADT!I8,"ERR")))))))</f>
        <v/>
      </c>
      <c r="E37" s="16" t="str">
        <f>IF($F$14="","",IF($F$14="Hourly","",IF($E$20="","",(IF($E$20="User Defined",AADT!D8,IF($E$20="Urban",AADT!G8,IF($E$20="Rural",AADT!J8,"ERR")))))))</f>
        <v/>
      </c>
      <c r="F37" s="105" t="str">
        <f t="shared" si="9"/>
        <v/>
      </c>
      <c r="G37" s="108"/>
      <c r="H37" s="27">
        <f t="shared" si="0"/>
        <v>5</v>
      </c>
      <c r="I37" s="28">
        <f t="shared" si="1"/>
        <v>0.97560975609756106</v>
      </c>
      <c r="J37" s="29">
        <f t="shared" si="10"/>
        <v>615</v>
      </c>
      <c r="K37" s="42"/>
      <c r="L37" s="29">
        <f t="shared" si="2"/>
        <v>615</v>
      </c>
      <c r="M37" s="148">
        <v>1</v>
      </c>
      <c r="N37" s="16">
        <f t="shared" si="3"/>
        <v>2</v>
      </c>
      <c r="O37" s="45"/>
      <c r="P37" s="46"/>
      <c r="Q37" s="29">
        <f t="shared" si="4"/>
        <v>2400</v>
      </c>
      <c r="R37" s="105">
        <f t="shared" si="11"/>
        <v>0</v>
      </c>
      <c r="S37" s="27">
        <f t="shared" si="5"/>
        <v>0</v>
      </c>
      <c r="T37" s="27">
        <f t="shared" ref="T37:T58" si="15">+MIN(R36:R37)+0.5*AVERAGE(R36:R37)</f>
        <v>0</v>
      </c>
      <c r="U37" s="29">
        <f t="shared" si="12"/>
        <v>0</v>
      </c>
      <c r="V37" s="27">
        <f t="shared" si="6"/>
        <v>0</v>
      </c>
      <c r="W37" s="27">
        <f t="shared" ref="W37:W58" si="16">+MIN(U36:U37)+0.5*AVERAGE(U36:U37)</f>
        <v>0</v>
      </c>
      <c r="X37" s="29">
        <f t="shared" si="13"/>
        <v>0</v>
      </c>
      <c r="Y37" s="27">
        <f t="shared" si="7"/>
        <v>0</v>
      </c>
      <c r="Z37" s="27">
        <f t="shared" ref="Z37:Z58" si="17">+MIN(X36:X37)+0.5*AVERAGE(X36:X37)</f>
        <v>0</v>
      </c>
      <c r="AA37" s="29">
        <f t="shared" si="14"/>
        <v>0</v>
      </c>
      <c r="AB37" s="27">
        <f t="shared" si="8"/>
        <v>0</v>
      </c>
      <c r="AC37" s="30">
        <f t="shared" ref="AC37:AC58" si="18">+MIN(AA36:AA37)+0.5*AVERAGE(AA36:AA37)</f>
        <v>0</v>
      </c>
      <c r="AD37" s="24"/>
      <c r="AE37" s="25">
        <f>IF(R36=0,H37,IF(R36&lt;J36,AVERAGE(H36:H37),AVERAGE(H35:H37)))</f>
        <v>5</v>
      </c>
      <c r="AF37" s="25">
        <f>IF(U36=0,H37,IF(U36&lt;L36,AVERAGE(H36:H37),AVERAGE(H35:H37)))</f>
        <v>5</v>
      </c>
      <c r="AG37" s="25">
        <f>IF(X36=0,H37,IF(X36&lt;J36,AVERAGE(H36:H37),AVERAGE(H35:H37)))</f>
        <v>5</v>
      </c>
      <c r="AH37" s="25">
        <f>IF(AA36=0,H37,IF(AA36&lt;L36,AVERAGE(H36:H37),AVERAGE(H35:H37)))</f>
        <v>5</v>
      </c>
      <c r="AI37" s="2"/>
      <c r="AJ37" s="2"/>
      <c r="AK37" s="2"/>
      <c r="AL37" s="2"/>
      <c r="AM37" s="2"/>
      <c r="AN37" s="2"/>
      <c r="AO37" s="2"/>
      <c r="AP37" s="2"/>
    </row>
    <row r="38" spans="1:42" ht="15.65" customHeight="1" x14ac:dyDescent="0.35">
      <c r="A38" s="70" t="s">
        <v>17</v>
      </c>
      <c r="B38" s="131">
        <v>750</v>
      </c>
      <c r="C38" s="26" t="str">
        <f>IF($F$14="","",IF($F$14="Hourly","",IF($E$20="","",(IF($E$20="User Defined",AADT!B9,IF($E$20="Urban",AADT!E9,IF($E$20="Rural",AADT!H9,"ERR")))))))</f>
        <v/>
      </c>
      <c r="D38" s="158" t="str">
        <f>IF($F$14="","",IF($F$14="Hourly","",IF($E$20="","",(IF($E$20="User Defined",AADT!C9,IF($E$20="Urban",AADT!F9,IF($E$20="Rural",AADT!I9,"ERR")))))))</f>
        <v/>
      </c>
      <c r="E38" s="16" t="str">
        <f>IF($F$14="","",IF($F$14="Hourly","",IF($E$20="","",(IF($E$20="User Defined",AADT!D9,IF($E$20="Urban",AADT!G9,IF($E$20="Rural",AADT!J9,"ERR")))))))</f>
        <v/>
      </c>
      <c r="F38" s="105" t="str">
        <f t="shared" si="9"/>
        <v/>
      </c>
      <c r="G38" s="108"/>
      <c r="H38" s="27">
        <f t="shared" si="0"/>
        <v>5</v>
      </c>
      <c r="I38" s="28">
        <f t="shared" si="1"/>
        <v>0.97560975609756106</v>
      </c>
      <c r="J38" s="29">
        <f t="shared" si="10"/>
        <v>768.74999999999989</v>
      </c>
      <c r="K38" s="148"/>
      <c r="L38" s="29">
        <f t="shared" si="2"/>
        <v>768.74999999999989</v>
      </c>
      <c r="M38" s="148">
        <v>1</v>
      </c>
      <c r="N38" s="16">
        <f t="shared" si="3"/>
        <v>2</v>
      </c>
      <c r="O38" s="45"/>
      <c r="P38" s="46"/>
      <c r="Q38" s="29">
        <f t="shared" si="4"/>
        <v>2400</v>
      </c>
      <c r="R38" s="105">
        <f t="shared" si="11"/>
        <v>0</v>
      </c>
      <c r="S38" s="27">
        <f t="shared" si="5"/>
        <v>0</v>
      </c>
      <c r="T38" s="27">
        <f t="shared" si="15"/>
        <v>0</v>
      </c>
      <c r="U38" s="29">
        <f t="shared" si="12"/>
        <v>0</v>
      </c>
      <c r="V38" s="27">
        <f t="shared" si="6"/>
        <v>0</v>
      </c>
      <c r="W38" s="27">
        <f t="shared" si="16"/>
        <v>0</v>
      </c>
      <c r="X38" s="29">
        <f t="shared" si="13"/>
        <v>0</v>
      </c>
      <c r="Y38" s="27">
        <f t="shared" si="7"/>
        <v>0</v>
      </c>
      <c r="Z38" s="27">
        <f t="shared" si="17"/>
        <v>0</v>
      </c>
      <c r="AA38" s="29">
        <f t="shared" si="14"/>
        <v>0</v>
      </c>
      <c r="AB38" s="27">
        <f t="shared" si="8"/>
        <v>0</v>
      </c>
      <c r="AC38" s="30">
        <f t="shared" si="18"/>
        <v>0</v>
      </c>
      <c r="AD38" s="24"/>
      <c r="AE38" s="25">
        <f>IF(R37=0,H38,IF(R37&lt;J37,AVERAGE(H37:H38),IF(R37&lt;(J37+J36),AVERAGE(H36:H38),AVERAGE(H35:H38))))</f>
        <v>5</v>
      </c>
      <c r="AF38" s="25">
        <f>IF(U37=0,H38,IF(U37&lt;L37,AVERAGE(H37:H38),IF(U37&lt;(L37+L36),AVERAGE(H36:H38),AVERAGE(H35:H38))))</f>
        <v>5</v>
      </c>
      <c r="AG38" s="25">
        <f>IF(X37=0,H38,IF(X37&lt;J37,AVERAGE(H37:H38),IF(X37&lt;(J37+J36),AVERAGE(H36:H38),AVERAGE(H35:H38))))</f>
        <v>5</v>
      </c>
      <c r="AH38" s="25">
        <f>IF(AA37=0,H38,IF(AA37&lt;L37,AVERAGE(H37:H38),IF(AA37&lt;(L37+L36),AVERAGE(H36:H38),AVERAGE(H35:H38))))</f>
        <v>5</v>
      </c>
      <c r="AI38" s="2"/>
      <c r="AJ38" s="2"/>
      <c r="AK38" s="2"/>
      <c r="AL38" s="2"/>
      <c r="AM38" s="2"/>
      <c r="AN38" s="2"/>
      <c r="AO38" s="2"/>
      <c r="AP38" s="2"/>
    </row>
    <row r="39" spans="1:42" ht="15.65" customHeight="1" x14ac:dyDescent="0.35">
      <c r="A39" s="70" t="s">
        <v>18</v>
      </c>
      <c r="B39" s="131">
        <v>800</v>
      </c>
      <c r="C39" s="26" t="str">
        <f>IF($F$14="","",IF($F$14="Hourly","",IF($E$20="","",(IF($E$20="User Defined",AADT!B10,IF($E$20="Urban",AADT!E10,IF($E$20="Rural",AADT!H10,"ERR")))))))</f>
        <v/>
      </c>
      <c r="D39" s="158" t="str">
        <f>IF($F$14="","",IF($F$14="Hourly","",IF($E$20="","",(IF($E$20="User Defined",AADT!C10,IF($E$20="Urban",AADT!F10,IF($E$20="Rural",AADT!I10,"ERR")))))))</f>
        <v/>
      </c>
      <c r="E39" s="16" t="str">
        <f>IF($F$14="","",IF($F$14="Hourly","",IF($E$20="","",(IF($E$20="User Defined",AADT!D10,IF($E$20="Urban",AADT!G10,IF($E$20="Rural",AADT!J10,"ERR")))))))</f>
        <v/>
      </c>
      <c r="F39" s="105" t="str">
        <f t="shared" si="9"/>
        <v/>
      </c>
      <c r="G39" s="108"/>
      <c r="H39" s="27">
        <f t="shared" si="0"/>
        <v>5</v>
      </c>
      <c r="I39" s="28">
        <f t="shared" si="1"/>
        <v>0.97560975609756106</v>
      </c>
      <c r="J39" s="29">
        <f t="shared" si="10"/>
        <v>819.99999999999989</v>
      </c>
      <c r="K39" s="42"/>
      <c r="L39" s="29">
        <f t="shared" si="2"/>
        <v>819.99999999999989</v>
      </c>
      <c r="M39" s="148">
        <v>1</v>
      </c>
      <c r="N39" s="16">
        <f t="shared" si="3"/>
        <v>2</v>
      </c>
      <c r="O39" s="45"/>
      <c r="P39" s="46"/>
      <c r="Q39" s="29">
        <f t="shared" si="4"/>
        <v>2400</v>
      </c>
      <c r="R39" s="105">
        <f t="shared" si="11"/>
        <v>0</v>
      </c>
      <c r="S39" s="27">
        <f t="shared" si="5"/>
        <v>0</v>
      </c>
      <c r="T39" s="27">
        <f t="shared" si="15"/>
        <v>0</v>
      </c>
      <c r="U39" s="29">
        <f t="shared" si="12"/>
        <v>0</v>
      </c>
      <c r="V39" s="27">
        <f t="shared" si="6"/>
        <v>0</v>
      </c>
      <c r="W39" s="27">
        <f t="shared" si="16"/>
        <v>0</v>
      </c>
      <c r="X39" s="29">
        <f t="shared" si="13"/>
        <v>0</v>
      </c>
      <c r="Y39" s="27">
        <f t="shared" si="7"/>
        <v>0</v>
      </c>
      <c r="Z39" s="27">
        <f t="shared" si="17"/>
        <v>0</v>
      </c>
      <c r="AA39" s="29">
        <f t="shared" si="14"/>
        <v>0</v>
      </c>
      <c r="AB39" s="27">
        <f t="shared" si="8"/>
        <v>0</v>
      </c>
      <c r="AC39" s="30">
        <f t="shared" si="18"/>
        <v>0</v>
      </c>
      <c r="AD39" s="24"/>
      <c r="AE39" s="25">
        <f>IF(R38=0,H39,IF(R38&lt;J38,AVERAGE(H38:H39),IF(R38&lt;(J38+J37),AVERAGE(H37:H39),IF(R38&lt;SUM(J38:J39),AVERAGE(H36:H39),AVERAGE(H35:H39)))))</f>
        <v>5</v>
      </c>
      <c r="AF39" s="25">
        <f>IF(U38=0,H39,IF(U38&lt;L38,AVERAGE(H38:H39),IF(U38&lt;(L38+L37),AVERAGE(H37:H39),IF(U38&lt;SUM(L36:L38),AVERAGE(H36:H39),AVERAGE(H35:H39)))))</f>
        <v>5</v>
      </c>
      <c r="AG39" s="25">
        <f>IF(X38=0,H39,IF(X38&lt;J38,AVERAGE(H38:H39),IF(X38&lt;(J38+J37),AVERAGE(H37:H39),IF(X38&lt;SUM(J36:J38),AVERAGE(H36:H39),AVERAGE(H35:H39)))))</f>
        <v>5</v>
      </c>
      <c r="AH39" s="25">
        <f>IF(AA38=0,H39,IF(AA38&lt;L38,AVERAGE(H38:H39),IF(AA38&lt;(L38+L37),AVERAGE(H37:H39),IF(AA38&lt;SUM(L36:L38),AVERAGE(H36:H39),AVERAGE(H35:H39)))))</f>
        <v>5</v>
      </c>
      <c r="AI39" s="2"/>
      <c r="AJ39" s="2"/>
      <c r="AK39" s="2"/>
      <c r="AL39" s="2"/>
      <c r="AM39" s="2"/>
      <c r="AN39" s="2"/>
      <c r="AO39" s="2"/>
      <c r="AP39" s="2"/>
    </row>
    <row r="40" spans="1:42" ht="15.65" customHeight="1" x14ac:dyDescent="0.35">
      <c r="A40" s="70" t="s">
        <v>19</v>
      </c>
      <c r="B40" s="131">
        <v>800</v>
      </c>
      <c r="C40" s="26" t="str">
        <f>IF($F$14="","",IF($F$14="Hourly","",IF($E$20="","",(IF($E$20="User Defined",AADT!B11,IF($E$20="Urban",AADT!E11,IF($E$20="Rural",AADT!H11,"ERR")))))))</f>
        <v/>
      </c>
      <c r="D40" s="158" t="str">
        <f>IF($F$14="","",IF($F$14="Hourly","",IF($E$20="","",(IF($E$20="User Defined",AADT!C11,IF($E$20="Urban",AADT!F11,IF($E$20="Rural",AADT!I11,"ERR")))))))</f>
        <v/>
      </c>
      <c r="E40" s="16" t="str">
        <f>IF($F$14="","",IF($F$14="Hourly","",IF($E$20="","",(IF($E$20="User Defined",AADT!D11,IF($E$20="Urban",AADT!G11,IF($E$20="Rural",AADT!J11,"ERR")))))))</f>
        <v/>
      </c>
      <c r="F40" s="105" t="str">
        <f t="shared" si="9"/>
        <v/>
      </c>
      <c r="G40" s="108"/>
      <c r="H40" s="27">
        <f t="shared" si="0"/>
        <v>5</v>
      </c>
      <c r="I40" s="28">
        <f t="shared" si="1"/>
        <v>0.97560975609756106</v>
      </c>
      <c r="J40" s="29">
        <f t="shared" si="10"/>
        <v>819.99999999999989</v>
      </c>
      <c r="K40" s="148"/>
      <c r="L40" s="29">
        <f t="shared" si="2"/>
        <v>819.99999999999989</v>
      </c>
      <c r="M40" s="148">
        <v>1</v>
      </c>
      <c r="N40" s="16">
        <f t="shared" si="3"/>
        <v>2</v>
      </c>
      <c r="O40" s="45"/>
      <c r="P40" s="46"/>
      <c r="Q40" s="29">
        <f t="shared" si="4"/>
        <v>2400</v>
      </c>
      <c r="R40" s="105">
        <f t="shared" si="11"/>
        <v>0</v>
      </c>
      <c r="S40" s="27">
        <f t="shared" si="5"/>
        <v>0</v>
      </c>
      <c r="T40" s="27">
        <f t="shared" si="15"/>
        <v>0</v>
      </c>
      <c r="U40" s="29">
        <f t="shared" si="12"/>
        <v>0</v>
      </c>
      <c r="V40" s="27">
        <f t="shared" si="6"/>
        <v>0</v>
      </c>
      <c r="W40" s="27">
        <f t="shared" si="16"/>
        <v>0</v>
      </c>
      <c r="X40" s="29">
        <f t="shared" si="13"/>
        <v>0</v>
      </c>
      <c r="Y40" s="27">
        <f t="shared" si="7"/>
        <v>0</v>
      </c>
      <c r="Z40" s="27">
        <f t="shared" si="17"/>
        <v>0</v>
      </c>
      <c r="AA40" s="29">
        <f t="shared" si="14"/>
        <v>0</v>
      </c>
      <c r="AB40" s="27">
        <f t="shared" si="8"/>
        <v>0</v>
      </c>
      <c r="AC40" s="30">
        <f t="shared" si="18"/>
        <v>0</v>
      </c>
      <c r="AD40" s="24"/>
      <c r="AE40" s="25">
        <f>IF(R39=0,H40,IF(R39&lt;J39,AVERAGE(H39:H40),IF(R39&lt;(J39+J38),AVERAGE(H38:H40),IF(R39&lt;SUM(J39:J40),AVERAGE(H37:H40),IF(R39&lt;SUM(J36:J39),AVERAGE(H36:H40),AVERAGE(H35:H40))))))</f>
        <v>5</v>
      </c>
      <c r="AF40" s="25">
        <f>IF(U39=0,H40,IF(U39&lt;L39,AVERAGE(H39:H40),IF(U39&lt;(L39+L38),AVERAGE(H38:H40),IF(U39&lt;SUM(L37:L39),AVERAGE(H37:H40),IF(U39&lt;SUM(L36:L39),AVERAGE(H36:H40),AVERAGE(H35:H40))))))</f>
        <v>5</v>
      </c>
      <c r="AG40" s="25">
        <f>IF(X39=0,H40,IF(X39&lt;J39,AVERAGE(H39:H40),IF(X39&lt;(J39+J38),AVERAGE(H38:H40),IF(X39&lt;SUM(J37:J39),AVERAGE(H37:H40),IF(X39&lt;SUM(J36:J39),AVERAGE(H36:H40),AVERAGE(H35:H40))))))</f>
        <v>5</v>
      </c>
      <c r="AH40" s="25">
        <f>IF(AA39=0,H40,IF(AA39&lt;L39,AVERAGE(H39:H40),IF(AA39&lt;(L39+L38),AVERAGE(H38:H40),IF(AA39&lt;SUM(L37:L39),AVERAGE(H37:H40),IF(AA39&lt;SUM(L36:L39),AVERAGE(H36:H40),AVERAGE(H35:H40))))))</f>
        <v>5</v>
      </c>
      <c r="AI40" s="2"/>
      <c r="AJ40" s="2"/>
      <c r="AK40" s="2"/>
      <c r="AL40" s="2"/>
      <c r="AM40" s="2"/>
      <c r="AN40" s="2"/>
      <c r="AO40" s="2"/>
      <c r="AP40" s="2"/>
    </row>
    <row r="41" spans="1:42" ht="15.65" customHeight="1" x14ac:dyDescent="0.35">
      <c r="A41" s="70" t="s">
        <v>20</v>
      </c>
      <c r="B41" s="131">
        <v>900</v>
      </c>
      <c r="C41" s="26" t="str">
        <f>IF($F$14="","",IF($F$14="Hourly","",IF($E$20="","",(IF($E$20="User Defined",AADT!B12,IF($E$20="Urban",AADT!E12,IF($E$20="Rural",AADT!H12,"ERR")))))))</f>
        <v/>
      </c>
      <c r="D41" s="158" t="str">
        <f>IF($F$14="","",IF($F$14="Hourly","",IF($E$20="","",(IF($E$20="User Defined",AADT!C12,IF($E$20="Urban",AADT!F12,IF($E$20="Rural",AADT!I12,"ERR")))))))</f>
        <v/>
      </c>
      <c r="E41" s="16" t="str">
        <f>IF($F$14="","",IF($F$14="Hourly","",IF($E$20="","",(IF($E$20="User Defined",AADT!D12,IF($E$20="Urban",AADT!G12,IF($E$20="Rural",AADT!J12,"ERR")))))))</f>
        <v/>
      </c>
      <c r="F41" s="105" t="str">
        <f t="shared" si="9"/>
        <v/>
      </c>
      <c r="G41" s="108"/>
      <c r="H41" s="27">
        <f t="shared" si="0"/>
        <v>5</v>
      </c>
      <c r="I41" s="28">
        <f t="shared" si="1"/>
        <v>0.97560975609756106</v>
      </c>
      <c r="J41" s="29">
        <f t="shared" si="10"/>
        <v>922.49999999999989</v>
      </c>
      <c r="K41" s="42"/>
      <c r="L41" s="29">
        <f t="shared" si="2"/>
        <v>922.49999999999989</v>
      </c>
      <c r="M41" s="148">
        <v>1</v>
      </c>
      <c r="N41" s="16">
        <f t="shared" si="3"/>
        <v>2</v>
      </c>
      <c r="O41" s="45"/>
      <c r="P41" s="46"/>
      <c r="Q41" s="29">
        <f t="shared" si="4"/>
        <v>2400</v>
      </c>
      <c r="R41" s="105">
        <f t="shared" si="11"/>
        <v>0</v>
      </c>
      <c r="S41" s="27">
        <f t="shared" si="5"/>
        <v>0</v>
      </c>
      <c r="T41" s="27">
        <f t="shared" si="15"/>
        <v>0</v>
      </c>
      <c r="U41" s="29">
        <f t="shared" si="12"/>
        <v>0</v>
      </c>
      <c r="V41" s="27">
        <f t="shared" si="6"/>
        <v>0</v>
      </c>
      <c r="W41" s="27">
        <f t="shared" si="16"/>
        <v>0</v>
      </c>
      <c r="X41" s="29">
        <f t="shared" si="13"/>
        <v>0</v>
      </c>
      <c r="Y41" s="27">
        <f t="shared" si="7"/>
        <v>0</v>
      </c>
      <c r="Z41" s="27">
        <f t="shared" si="17"/>
        <v>0</v>
      </c>
      <c r="AA41" s="29">
        <f t="shared" si="14"/>
        <v>0</v>
      </c>
      <c r="AB41" s="27">
        <f t="shared" si="8"/>
        <v>0</v>
      </c>
      <c r="AC41" s="30">
        <f t="shared" si="18"/>
        <v>0</v>
      </c>
      <c r="AD41" s="24"/>
      <c r="AE41" s="25">
        <f>IF(R40=0,H41,IF(R40&lt;J40,AVERAGE(H40:H41),IF(R40&lt;(J40+J39),AVERAGE(H39:H41),IF(R40&lt;SUM(J40:J40),AVERAGE(H38:H41),IF(R40&lt;SUM(J37:J40),AVERAGE(H37:H41),IF(R40&lt;SUM(J36:J40),AVERAGE(H36:H41),AVERAGE(H35:H41)))))))</f>
        <v>5</v>
      </c>
      <c r="AF41" s="25">
        <f>IF(U40=0,H41,IF(U40&lt;L40,AVERAGE(H40:H41),IF(U40&lt;(L40+L39),AVERAGE(H39:H41),IF(U40&lt;SUM(L38:L40),AVERAGE(H38:H41),IF(U40&lt;SUM(L37:L40),AVERAGE(H37:H41),IF(U40&lt;SUM(L36:L40),AVERAGE(H36:H41),AVERAGE(H35:H41)))))))</f>
        <v>5</v>
      </c>
      <c r="AG41" s="25">
        <f>IF(X40=0,H41,IF(X40&lt;J40,AVERAGE(H40:H41),IF(X40&lt;(J40+J39),AVERAGE(H39:H41),IF(X40&lt;SUM(J38:J40),AVERAGE(H38:H41),IF(X40&lt;SUM(J37:J40),AVERAGE(H37:H41),IF(X40&lt;SUM(J36:J40),AVERAGE(H36:H41),AVERAGE(H35:H41)))))))</f>
        <v>5</v>
      </c>
      <c r="AH41" s="25">
        <f>IF(AA40=0,H41,IF(AA40&lt;L40,AVERAGE(H40:H41),IF(AA40&lt;(L40+L39),AVERAGE(H39:H41),IF(AA40&lt;SUM(L38:L40),AVERAGE(H38:H41),IF(AA40&lt;SUM(L37:L40),AVERAGE(H37:H41),IF(AA40&lt;SUM(L36:L40),AVERAGE(H36:H41),AVERAGE(H35:H41)))))))</f>
        <v>5</v>
      </c>
      <c r="AI41" s="2"/>
      <c r="AJ41" s="2"/>
      <c r="AK41" s="2"/>
      <c r="AL41" s="2"/>
      <c r="AM41" s="2"/>
      <c r="AN41" s="2"/>
      <c r="AO41" s="2"/>
      <c r="AP41" s="2"/>
    </row>
    <row r="42" spans="1:42" ht="15.65" customHeight="1" x14ac:dyDescent="0.35">
      <c r="A42" s="70" t="s">
        <v>21</v>
      </c>
      <c r="B42" s="131">
        <v>3923</v>
      </c>
      <c r="C42" s="26" t="str">
        <f>IF($F$14="","",IF($F$14="Hourly","",IF($E$20="","",(IF($E$20="User Defined",AADT!B13,IF($E$20="Urban",AADT!E13,IF($E$20="Rural",AADT!H13,"ERR")))))))</f>
        <v/>
      </c>
      <c r="D42" s="158" t="str">
        <f>IF($F$14="","",IF($F$14="Hourly","",IF($E$20="","",(IF($E$20="User Defined",AADT!C13,IF($E$20="Urban",AADT!F13,IF($E$20="Rural",AADT!I13,"ERR")))))))</f>
        <v/>
      </c>
      <c r="E42" s="16" t="str">
        <f>IF($F$14="","",IF($F$14="Hourly","",IF($E$20="","",(IF($E$20="User Defined",AADT!D13,IF($E$20="Urban",AADT!G13,IF($E$20="Rural",AADT!J13,"ERR")))))))</f>
        <v/>
      </c>
      <c r="F42" s="105" t="str">
        <f t="shared" si="9"/>
        <v/>
      </c>
      <c r="G42" s="108"/>
      <c r="H42" s="27">
        <f t="shared" si="0"/>
        <v>5</v>
      </c>
      <c r="I42" s="28">
        <f t="shared" si="1"/>
        <v>0.97560975609756106</v>
      </c>
      <c r="J42" s="29">
        <f t="shared" si="10"/>
        <v>4021.0749999999998</v>
      </c>
      <c r="K42" s="148"/>
      <c r="L42" s="29">
        <f t="shared" si="2"/>
        <v>4021.0749999999998</v>
      </c>
      <c r="M42" s="148">
        <v>1</v>
      </c>
      <c r="N42" s="16">
        <f t="shared" si="3"/>
        <v>2</v>
      </c>
      <c r="O42" s="45"/>
      <c r="P42" s="46"/>
      <c r="Q42" s="29">
        <f t="shared" si="4"/>
        <v>2400</v>
      </c>
      <c r="R42" s="105">
        <f t="shared" si="11"/>
        <v>0</v>
      </c>
      <c r="S42" s="27">
        <f t="shared" si="5"/>
        <v>0</v>
      </c>
      <c r="T42" s="27">
        <f t="shared" si="15"/>
        <v>0</v>
      </c>
      <c r="U42" s="29">
        <f t="shared" si="12"/>
        <v>0</v>
      </c>
      <c r="V42" s="27">
        <f t="shared" si="6"/>
        <v>0</v>
      </c>
      <c r="W42" s="27">
        <f t="shared" si="16"/>
        <v>0</v>
      </c>
      <c r="X42" s="29">
        <f t="shared" si="13"/>
        <v>1621.0749999999998</v>
      </c>
      <c r="Y42" s="27">
        <f t="shared" si="7"/>
        <v>2.0468118686868686</v>
      </c>
      <c r="Z42" s="27">
        <f t="shared" si="17"/>
        <v>405.26874999999995</v>
      </c>
      <c r="AA42" s="29">
        <f t="shared" si="14"/>
        <v>1621.0749999999998</v>
      </c>
      <c r="AB42" s="27">
        <f t="shared" si="8"/>
        <v>2.0468118686868686</v>
      </c>
      <c r="AC42" s="30">
        <f t="shared" si="18"/>
        <v>405.26874999999995</v>
      </c>
      <c r="AD42" s="24"/>
      <c r="AE42" s="25">
        <f>IF(R41=0,H42,IF(R41&lt;J41,AVERAGE(H41:H42),IF(R41&lt;(J41+J40),AVERAGE(H40:H42),IF(R41&lt;SUM(J40:J41),AVERAGE(H39:H42),IF(R41&lt;SUM(J38:J41),AVERAGE(H38:H42),IF(R41&lt;SUM(J37:J41),AVERAGE(H37:H42),IF(R41&lt;SUM(J36:J41),AVERAGE(H36:H42),AVERAGE(H35:H42))))))))</f>
        <v>5</v>
      </c>
      <c r="AF42" s="25">
        <f t="shared" ref="AF42:AF58" si="19">IF(U41=0,H42,IF(U41&lt;L41,AVERAGE(H41:H42),IF(U41&lt;(L41+L40),AVERAGE(H40:H42),IF(U41&lt;SUM(L39:L41),AVERAGE(H39:H42),IF(U41&lt;SUM(L38:L41),AVERAGE(H38:H42),IF(U41&lt;SUM(L37:L41),AVERAGE(H37:H42),IF(U41&lt;SUM(L36:L41),AVERAGE(H36:H42),AVERAGE(H35:H42))))))))</f>
        <v>5</v>
      </c>
      <c r="AG42" s="25">
        <f t="shared" ref="AG42:AG58" si="20">IF(X41=0,H42,IF(X41&lt;J41,AVERAGE(H41:H42),IF(X41&lt;(J41+J40),AVERAGE(H40:H42),IF(X41&lt;SUM(J39:J41),AVERAGE(H39:H42),IF(X41&lt;SUM(J38:J41),AVERAGE(H38:H42),IF(X41&lt;SUM(J37:J41),AVERAGE(H37:H42),IF(X41&lt;SUM(J36:J41),AVERAGE(H36:H42),AVERAGE(H35:H42))))))))</f>
        <v>5</v>
      </c>
      <c r="AH42" s="25">
        <f t="shared" ref="AH42:AH58" si="21">IF(AA41=0,H42,IF(AA41&lt;L41,AVERAGE(H41:H42),IF(AA41&lt;(L41+L40),AVERAGE(H40:H42),IF(AA41&lt;SUM(L39:L41),AVERAGE(H39:H42),IF(AA41&lt;SUM(L38:L41),AVERAGE(H38:H42),IF(AA41&lt;SUM(L37:L41),AVERAGE(H37:H42),IF(AA41&lt;SUM(L36:L41),AVERAGE(H36:H42),AVERAGE(H35:H42))))))))</f>
        <v>5</v>
      </c>
      <c r="AI42" s="2"/>
      <c r="AJ42" s="2"/>
      <c r="AK42" s="2"/>
      <c r="AL42" s="2"/>
      <c r="AM42" s="2"/>
      <c r="AN42" s="2"/>
      <c r="AO42" s="2"/>
      <c r="AP42" s="2"/>
    </row>
    <row r="43" spans="1:42" ht="15.65" customHeight="1" x14ac:dyDescent="0.35">
      <c r="A43" s="70" t="s">
        <v>22</v>
      </c>
      <c r="B43" s="131">
        <v>3200</v>
      </c>
      <c r="C43" s="26" t="str">
        <f>IF($F$14="","",IF($F$14="Hourly","",IF($E$20="","",(IF($E$20="User Defined",AADT!B14,IF($E$20="Urban",AADT!E14,IF($E$20="Rural",AADT!H14,"ERR")))))))</f>
        <v/>
      </c>
      <c r="D43" s="158" t="str">
        <f>IF($F$14="","",IF($F$14="Hourly","",IF($E$20="","",(IF($E$20="User Defined",AADT!C14,IF($E$20="Urban",AADT!F14,IF($E$20="Rural",AADT!I14,"ERR")))))))</f>
        <v/>
      </c>
      <c r="E43" s="16" t="str">
        <f>IF($F$14="","",IF($F$14="Hourly","",IF($E$20="","",(IF($E$20="User Defined",AADT!D14,IF($E$20="Urban",AADT!G14,IF($E$20="Rural",AADT!J14,"ERR")))))))</f>
        <v/>
      </c>
      <c r="F43" s="105" t="str">
        <f t="shared" si="9"/>
        <v/>
      </c>
      <c r="G43" s="108"/>
      <c r="H43" s="27">
        <f t="shared" si="0"/>
        <v>5</v>
      </c>
      <c r="I43" s="28">
        <f t="shared" si="1"/>
        <v>0.97560975609756106</v>
      </c>
      <c r="J43" s="29">
        <f t="shared" si="10"/>
        <v>3279.9999999999995</v>
      </c>
      <c r="K43" s="42"/>
      <c r="L43" s="29">
        <f t="shared" si="2"/>
        <v>3279.9999999999995</v>
      </c>
      <c r="M43" s="148">
        <v>1</v>
      </c>
      <c r="N43" s="16">
        <f t="shared" si="3"/>
        <v>2</v>
      </c>
      <c r="O43" s="45"/>
      <c r="P43" s="46"/>
      <c r="Q43" s="29">
        <f t="shared" si="4"/>
        <v>2400</v>
      </c>
      <c r="R43" s="105">
        <f t="shared" si="11"/>
        <v>0</v>
      </c>
      <c r="S43" s="27">
        <f t="shared" si="5"/>
        <v>0</v>
      </c>
      <c r="T43" s="27">
        <f t="shared" si="15"/>
        <v>0</v>
      </c>
      <c r="U43" s="29">
        <f t="shared" si="12"/>
        <v>0</v>
      </c>
      <c r="V43" s="27">
        <f t="shared" si="6"/>
        <v>0</v>
      </c>
      <c r="W43" s="27">
        <f t="shared" si="16"/>
        <v>0</v>
      </c>
      <c r="X43" s="29">
        <f t="shared" si="13"/>
        <v>2501.0749999999989</v>
      </c>
      <c r="Y43" s="27">
        <f t="shared" si="7"/>
        <v>3.1579229797979784</v>
      </c>
      <c r="Z43" s="27">
        <f t="shared" si="17"/>
        <v>2651.6124999999993</v>
      </c>
      <c r="AA43" s="29">
        <f t="shared" si="14"/>
        <v>2501.0749999999989</v>
      </c>
      <c r="AB43" s="27">
        <f t="shared" si="8"/>
        <v>3.1579229797979784</v>
      </c>
      <c r="AC43" s="30">
        <f t="shared" si="18"/>
        <v>2651.6124999999993</v>
      </c>
      <c r="AD43" s="24"/>
      <c r="AE43" s="25">
        <f>IF(R42=0,H43,IF(R42&lt;J42,AVERAGE(H42:H43),IF(R42&lt;(J42+J41),AVERAGE(H41:H43),IF(R42&lt;SUM(J40:J42),AVERAGE(H40:H43),IF(R42&lt;SUM(J39:J42),AVERAGE(H39:H43),IF(R42&lt;SUM(J38:J42),AVERAGE(H38:H43),IF(R42&lt;SUM(J37:J42),AVERAGE(H37:H43),AVERAGE(H36:H43))))))))</f>
        <v>5</v>
      </c>
      <c r="AF43" s="25">
        <f t="shared" si="19"/>
        <v>5</v>
      </c>
      <c r="AG43" s="25">
        <f t="shared" si="20"/>
        <v>5</v>
      </c>
      <c r="AH43" s="25">
        <f t="shared" si="21"/>
        <v>5</v>
      </c>
      <c r="AI43" s="2"/>
      <c r="AJ43" s="2"/>
      <c r="AK43" s="2"/>
      <c r="AL43" s="2"/>
      <c r="AM43" s="2"/>
      <c r="AN43" s="2"/>
      <c r="AO43" s="2"/>
      <c r="AP43" s="2"/>
    </row>
    <row r="44" spans="1:42" ht="15.65" customHeight="1" x14ac:dyDescent="0.35">
      <c r="A44" s="70" t="s">
        <v>23</v>
      </c>
      <c r="B44" s="131">
        <v>2500</v>
      </c>
      <c r="C44" s="26" t="str">
        <f>IF($F$14="","",IF($F$14="Hourly","",IF($E$20="","",(IF($E$20="User Defined",AADT!B15,IF($E$20="Urban",AADT!E15,IF($E$20="Rural",AADT!H15,"ERR")))))))</f>
        <v/>
      </c>
      <c r="D44" s="158" t="str">
        <f>IF($F$14="","",IF($F$14="Hourly","",IF($E$20="","",(IF($E$20="User Defined",AADT!C15,IF($E$20="Urban",AADT!F15,IF($E$20="Rural",AADT!I15,"ERR")))))))</f>
        <v/>
      </c>
      <c r="E44" s="16" t="str">
        <f>IF($F$14="","",IF($F$14="Hourly","",IF($E$20="","",(IF($E$20="User Defined",AADT!D15,IF($E$20="Urban",AADT!G15,IF($E$20="Rural",AADT!J15,"ERR")))))))</f>
        <v/>
      </c>
      <c r="F44" s="105" t="str">
        <f t="shared" si="9"/>
        <v/>
      </c>
      <c r="G44" s="108"/>
      <c r="H44" s="27">
        <f t="shared" si="0"/>
        <v>5</v>
      </c>
      <c r="I44" s="28">
        <f t="shared" si="1"/>
        <v>0.97560975609756106</v>
      </c>
      <c r="J44" s="29">
        <f t="shared" si="10"/>
        <v>2562.4999999999995</v>
      </c>
      <c r="K44" s="148"/>
      <c r="L44" s="29">
        <f t="shared" si="2"/>
        <v>2562.4999999999995</v>
      </c>
      <c r="M44" s="148">
        <v>1</v>
      </c>
      <c r="N44" s="16">
        <f t="shared" si="3"/>
        <v>2</v>
      </c>
      <c r="O44" s="45"/>
      <c r="P44" s="46"/>
      <c r="Q44" s="29">
        <f t="shared" si="4"/>
        <v>2400</v>
      </c>
      <c r="R44" s="105">
        <f t="shared" si="11"/>
        <v>0</v>
      </c>
      <c r="S44" s="27">
        <f t="shared" si="5"/>
        <v>0</v>
      </c>
      <c r="T44" s="27">
        <f t="shared" si="15"/>
        <v>0</v>
      </c>
      <c r="U44" s="29">
        <f t="shared" si="12"/>
        <v>0</v>
      </c>
      <c r="V44" s="27">
        <f t="shared" si="6"/>
        <v>0</v>
      </c>
      <c r="W44" s="27">
        <f t="shared" si="16"/>
        <v>0</v>
      </c>
      <c r="X44" s="29">
        <f t="shared" si="13"/>
        <v>2663.5749999999989</v>
      </c>
      <c r="Y44" s="27">
        <f t="shared" si="7"/>
        <v>3.3630997474747457</v>
      </c>
      <c r="Z44" s="27">
        <f t="shared" si="17"/>
        <v>3792.2374999999984</v>
      </c>
      <c r="AA44" s="29">
        <f t="shared" si="14"/>
        <v>2663.5749999999989</v>
      </c>
      <c r="AB44" s="27">
        <f t="shared" si="8"/>
        <v>3.3630997474747457</v>
      </c>
      <c r="AC44" s="30">
        <f t="shared" si="18"/>
        <v>3792.2374999999984</v>
      </c>
      <c r="AD44" s="24"/>
      <c r="AE44" s="25">
        <f>IF(R43=0,H44,IF(R43&lt;J43,AVERAGE(H43:H44),IF(R43&lt;(J43+J42),AVERAGE(H42:H44),IF(R43&lt;SUM(J40:J43),AVERAGE(H41:H44),IF(R43&lt;SUM(J40:J43),AVERAGE(H40:H44),IF(R43&lt;SUM(J39:J43),AVERAGE(H39:H44),IF(R43&lt;SUM(J38:J43),AVERAGE(H38:H44),AVERAGE(H37:H44))))))))</f>
        <v>5</v>
      </c>
      <c r="AF44" s="25">
        <f t="shared" si="19"/>
        <v>5</v>
      </c>
      <c r="AG44" s="25">
        <f t="shared" si="20"/>
        <v>5</v>
      </c>
      <c r="AH44" s="25">
        <f t="shared" si="21"/>
        <v>5</v>
      </c>
      <c r="AI44" s="2"/>
      <c r="AJ44" s="2"/>
      <c r="AK44" s="2"/>
      <c r="AL44" s="2"/>
      <c r="AM44" s="2"/>
      <c r="AN44" s="2"/>
      <c r="AO44" s="2"/>
      <c r="AP44" s="2"/>
    </row>
    <row r="45" spans="1:42" ht="15.65" customHeight="1" x14ac:dyDescent="0.35">
      <c r="A45" s="70" t="s">
        <v>24</v>
      </c>
      <c r="B45" s="131">
        <v>1594</v>
      </c>
      <c r="C45" s="26" t="str">
        <f>IF($F$14="","",IF($F$14="Hourly","",IF($E$20="","",(IF($E$20="User Defined",AADT!B16,IF($E$20="Urban",AADT!E16,IF($E$20="Rural",AADT!H16,"ERR")))))))</f>
        <v/>
      </c>
      <c r="D45" s="158" t="str">
        <f>IF($F$14="","",IF($F$14="Hourly","",IF($E$20="","",(IF($E$20="User Defined",AADT!C16,IF($E$20="Urban",AADT!F16,IF($E$20="Rural",AADT!I16,"ERR")))))))</f>
        <v/>
      </c>
      <c r="E45" s="16" t="str">
        <f>IF($F$14="","",IF($F$14="Hourly","",IF($E$20="","",(IF($E$20="User Defined",AADT!D16,IF($E$20="Urban",AADT!G16,IF($E$20="Rural",AADT!J16,"ERR")))))))</f>
        <v/>
      </c>
      <c r="F45" s="105" t="str">
        <f t="shared" si="9"/>
        <v/>
      </c>
      <c r="G45" s="108"/>
      <c r="H45" s="27">
        <f t="shared" si="0"/>
        <v>5</v>
      </c>
      <c r="I45" s="28">
        <f t="shared" si="1"/>
        <v>0.97560975609756106</v>
      </c>
      <c r="J45" s="29">
        <f t="shared" si="10"/>
        <v>1633.85</v>
      </c>
      <c r="K45" s="42"/>
      <c r="L45" s="29">
        <f t="shared" si="2"/>
        <v>1633.85</v>
      </c>
      <c r="M45" s="148">
        <v>1</v>
      </c>
      <c r="N45" s="16">
        <f t="shared" si="3"/>
        <v>2</v>
      </c>
      <c r="O45" s="45"/>
      <c r="P45" s="46"/>
      <c r="Q45" s="29">
        <f t="shared" si="4"/>
        <v>2400</v>
      </c>
      <c r="R45" s="105">
        <f t="shared" si="11"/>
        <v>0</v>
      </c>
      <c r="S45" s="27">
        <f t="shared" si="5"/>
        <v>0</v>
      </c>
      <c r="T45" s="27">
        <f t="shared" si="15"/>
        <v>0</v>
      </c>
      <c r="U45" s="29">
        <f t="shared" si="12"/>
        <v>0</v>
      </c>
      <c r="V45" s="27">
        <f t="shared" si="6"/>
        <v>0</v>
      </c>
      <c r="W45" s="27">
        <f t="shared" si="16"/>
        <v>0</v>
      </c>
      <c r="X45" s="29">
        <f t="shared" si="13"/>
        <v>1897.4249999999993</v>
      </c>
      <c r="Y45" s="27">
        <f t="shared" si="7"/>
        <v>2.3957386363636357</v>
      </c>
      <c r="Z45" s="27">
        <f t="shared" si="17"/>
        <v>3037.6749999999988</v>
      </c>
      <c r="AA45" s="29">
        <f t="shared" si="14"/>
        <v>1897.4249999999993</v>
      </c>
      <c r="AB45" s="27">
        <f t="shared" si="8"/>
        <v>2.3957386363636357</v>
      </c>
      <c r="AC45" s="30">
        <f t="shared" si="18"/>
        <v>3037.6749999999988</v>
      </c>
      <c r="AD45" s="24"/>
      <c r="AE45" s="25">
        <f>IF(R44=0,H45,IF(R44&lt;J44,AVERAGE(H44:H45),IF(R44&lt;(J44+J43),AVERAGE(H43:H45),IF(R44&lt;SUM(J40:J44),AVERAGE(H42:H45),IF(R44&lt;SUM(J41:J44),AVERAGE(H41:H45),IF(R44&lt;SUM(J40:J44),AVERAGE(H40:H45),IF(R44&lt;SUM(J39:J44),AVERAGE(H39:H45),AVERAGE(H38:H45))))))))</f>
        <v>5</v>
      </c>
      <c r="AF45" s="25">
        <f t="shared" si="19"/>
        <v>5</v>
      </c>
      <c r="AG45" s="25">
        <f t="shared" si="20"/>
        <v>5</v>
      </c>
      <c r="AH45" s="25">
        <f t="shared" si="21"/>
        <v>5</v>
      </c>
      <c r="AI45" s="2"/>
      <c r="AJ45" s="2"/>
      <c r="AK45" s="2"/>
      <c r="AL45" s="2"/>
      <c r="AM45" s="2"/>
      <c r="AN45" s="2"/>
      <c r="AO45" s="2"/>
      <c r="AP45" s="2"/>
    </row>
    <row r="46" spans="1:42" ht="15.65" customHeight="1" x14ac:dyDescent="0.35">
      <c r="A46" s="70" t="s">
        <v>25</v>
      </c>
      <c r="B46" s="131">
        <v>1500</v>
      </c>
      <c r="C46" s="26" t="str">
        <f>IF($F$14="","",IF($F$14="Hourly","",IF($E$20="","",(IF($E$20="User Defined",AADT!B17,IF($E$20="Urban",AADT!E17,IF($E$20="Rural",AADT!H17,"ERR")))))))</f>
        <v/>
      </c>
      <c r="D46" s="158" t="str">
        <f>IF($F$14="","",IF($F$14="Hourly","",IF($E$20="","",(IF($E$20="User Defined",AADT!C17,IF($E$20="Urban",AADT!F17,IF($E$20="Rural",AADT!I17,"ERR")))))))</f>
        <v/>
      </c>
      <c r="E46" s="16" t="str">
        <f>IF($F$14="","",IF($F$14="Hourly","",IF($E$20="","",(IF($E$20="User Defined",AADT!D17,IF($E$20="Urban",AADT!G17,IF($E$20="Rural",AADT!J17,"ERR")))))))</f>
        <v/>
      </c>
      <c r="F46" s="105" t="str">
        <f t="shared" si="9"/>
        <v/>
      </c>
      <c r="G46" s="108"/>
      <c r="H46" s="27">
        <f t="shared" si="0"/>
        <v>5</v>
      </c>
      <c r="I46" s="28">
        <f t="shared" si="1"/>
        <v>0.97560975609756106</v>
      </c>
      <c r="J46" s="29">
        <f t="shared" si="10"/>
        <v>1537.4999999999998</v>
      </c>
      <c r="K46" s="148"/>
      <c r="L46" s="29">
        <f t="shared" si="2"/>
        <v>1537.4999999999998</v>
      </c>
      <c r="M46" s="148">
        <v>1</v>
      </c>
      <c r="N46" s="16">
        <f t="shared" si="3"/>
        <v>2</v>
      </c>
      <c r="O46" s="45"/>
      <c r="P46" s="46"/>
      <c r="Q46" s="29">
        <f t="shared" si="4"/>
        <v>2400</v>
      </c>
      <c r="R46" s="105">
        <f t="shared" si="11"/>
        <v>0</v>
      </c>
      <c r="S46" s="27">
        <f t="shared" si="5"/>
        <v>0</v>
      </c>
      <c r="T46" s="27">
        <f t="shared" si="15"/>
        <v>0</v>
      </c>
      <c r="U46" s="29">
        <f t="shared" si="12"/>
        <v>0</v>
      </c>
      <c r="V46" s="27">
        <f t="shared" si="6"/>
        <v>0</v>
      </c>
      <c r="W46" s="27">
        <f t="shared" si="16"/>
        <v>0</v>
      </c>
      <c r="X46" s="29">
        <f t="shared" si="13"/>
        <v>1034.9249999999993</v>
      </c>
      <c r="Y46" s="27">
        <f t="shared" si="7"/>
        <v>1.3067234848484839</v>
      </c>
      <c r="Z46" s="27">
        <f t="shared" si="17"/>
        <v>1768.0124999999989</v>
      </c>
      <c r="AA46" s="29">
        <f t="shared" si="14"/>
        <v>1034.9249999999993</v>
      </c>
      <c r="AB46" s="27">
        <f t="shared" si="8"/>
        <v>1.3067234848484839</v>
      </c>
      <c r="AC46" s="30">
        <f t="shared" si="18"/>
        <v>1768.0124999999989</v>
      </c>
      <c r="AD46" s="24"/>
      <c r="AE46" s="25">
        <f>IF(R45=0,H46,IF(R45&lt;J45,AVERAGE(H45:H46),IF(R45&lt;(J45+J44),AVERAGE(H44:H46),IF(R45&lt;SUM(J40:J45),AVERAGE(H43:H46),IF(R45&lt;SUM(J42:J45),AVERAGE(H42:H46),IF(R45&lt;SUM(J41:J45),AVERAGE(H41:H46),IF(R45&lt;SUM(J40:J45),AVERAGE(H40:H46),AVERAGE(H39:H46))))))))</f>
        <v>5</v>
      </c>
      <c r="AF46" s="25">
        <f t="shared" si="19"/>
        <v>5</v>
      </c>
      <c r="AG46" s="25">
        <f t="shared" si="20"/>
        <v>5</v>
      </c>
      <c r="AH46" s="25">
        <f t="shared" si="21"/>
        <v>5</v>
      </c>
      <c r="AI46" s="2"/>
      <c r="AJ46" s="2"/>
      <c r="AK46" s="2"/>
      <c r="AL46" s="2"/>
      <c r="AM46" s="2"/>
      <c r="AN46" s="2"/>
      <c r="AO46" s="2"/>
      <c r="AP46" s="2"/>
    </row>
    <row r="47" spans="1:42" ht="15.65" customHeight="1" x14ac:dyDescent="0.35">
      <c r="A47" s="70" t="s">
        <v>26</v>
      </c>
      <c r="B47" s="131">
        <v>1500</v>
      </c>
      <c r="C47" s="26" t="str">
        <f>IF($F$14="","",IF($F$14="Hourly","",IF($E$20="","",(IF($E$20="User Defined",AADT!B18,IF($E$20="Urban",AADT!E18,IF($E$20="Rural",AADT!H18,"ERR")))))))</f>
        <v/>
      </c>
      <c r="D47" s="158" t="str">
        <f>IF($F$14="","",IF($F$14="Hourly","",IF($E$20="","",(IF($E$20="User Defined",AADT!C18,IF($E$20="Urban",AADT!F18,IF($E$20="Rural",AADT!I18,"ERR")))))))</f>
        <v/>
      </c>
      <c r="E47" s="16" t="str">
        <f>IF($F$14="","",IF($F$14="Hourly","",IF($E$20="","",(IF($E$20="User Defined",AADT!D18,IF($E$20="Urban",AADT!G18,IF($E$20="Rural",AADT!J18,"ERR")))))))</f>
        <v/>
      </c>
      <c r="F47" s="105" t="str">
        <f t="shared" si="9"/>
        <v/>
      </c>
      <c r="G47" s="108"/>
      <c r="H47" s="27">
        <f t="shared" si="0"/>
        <v>5</v>
      </c>
      <c r="I47" s="28">
        <f t="shared" si="1"/>
        <v>0.97560975609756106</v>
      </c>
      <c r="J47" s="29">
        <f t="shared" si="10"/>
        <v>1537.4999999999998</v>
      </c>
      <c r="K47" s="42"/>
      <c r="L47" s="29">
        <f t="shared" si="2"/>
        <v>1537.4999999999998</v>
      </c>
      <c r="M47" s="148">
        <v>1</v>
      </c>
      <c r="N47" s="16">
        <f t="shared" si="3"/>
        <v>2</v>
      </c>
      <c r="O47" s="45"/>
      <c r="P47" s="46"/>
      <c r="Q47" s="29">
        <f t="shared" si="4"/>
        <v>2400</v>
      </c>
      <c r="R47" s="105">
        <f t="shared" si="11"/>
        <v>0</v>
      </c>
      <c r="S47" s="27">
        <f t="shared" si="5"/>
        <v>0</v>
      </c>
      <c r="T47" s="27">
        <f t="shared" si="15"/>
        <v>0</v>
      </c>
      <c r="U47" s="29">
        <f t="shared" si="12"/>
        <v>0</v>
      </c>
      <c r="V47" s="27">
        <f t="shared" si="6"/>
        <v>0</v>
      </c>
      <c r="W47" s="27">
        <f t="shared" si="16"/>
        <v>0</v>
      </c>
      <c r="X47" s="29">
        <f t="shared" si="13"/>
        <v>172.42499999999927</v>
      </c>
      <c r="Y47" s="27">
        <f t="shared" si="7"/>
        <v>0.21770833333333242</v>
      </c>
      <c r="Z47" s="27">
        <f t="shared" si="17"/>
        <v>474.26249999999891</v>
      </c>
      <c r="AA47" s="29">
        <f t="shared" si="14"/>
        <v>172.42499999999927</v>
      </c>
      <c r="AB47" s="27">
        <f t="shared" si="8"/>
        <v>0.21770833333333242</v>
      </c>
      <c r="AC47" s="30">
        <f t="shared" si="18"/>
        <v>474.26249999999891</v>
      </c>
      <c r="AD47" s="24"/>
      <c r="AE47" s="25">
        <f>IF(R46=0,H47,IF(R46&lt;J46,AVERAGE(H46:H47),IF(R46&lt;(J46+J45),AVERAGE(H45:H47),IF(R46&lt;SUM(J40:J46),AVERAGE(H44:H47),IF(R46&lt;SUM(J43:J46),AVERAGE(H43:H47),IF(R46&lt;SUM(J42:J46),AVERAGE(H42:H47),IF(R46&lt;SUM(J41:J46),AVERAGE(H41:H47),AVERAGE(H40:H47))))))))</f>
        <v>5</v>
      </c>
      <c r="AF47" s="25">
        <f t="shared" si="19"/>
        <v>5</v>
      </c>
      <c r="AG47" s="25">
        <f t="shared" si="20"/>
        <v>5</v>
      </c>
      <c r="AH47" s="25">
        <f t="shared" si="21"/>
        <v>5</v>
      </c>
      <c r="AI47" s="2"/>
      <c r="AJ47" s="2"/>
      <c r="AK47" s="2"/>
      <c r="AL47" s="2"/>
      <c r="AM47" s="2"/>
      <c r="AN47" s="2"/>
      <c r="AO47" s="2"/>
      <c r="AP47" s="2"/>
    </row>
    <row r="48" spans="1:42" ht="15.65" customHeight="1" x14ac:dyDescent="0.35">
      <c r="A48" s="70" t="s">
        <v>27</v>
      </c>
      <c r="B48" s="131">
        <v>1600</v>
      </c>
      <c r="C48" s="26" t="str">
        <f>IF($F$14="","",IF($F$14="Hourly","",IF($E$20="","",(IF($E$20="User Defined",AADT!B19,IF($E$20="Urban",AADT!E19,IF($E$20="Rural",AADT!H19,"ERR")))))))</f>
        <v/>
      </c>
      <c r="D48" s="158" t="str">
        <f>IF($F$14="","",IF($F$14="Hourly","",IF($E$20="","",(IF($E$20="User Defined",AADT!C19,IF($E$20="Urban",AADT!F19,IF($E$20="Rural",AADT!I19,"ERR")))))))</f>
        <v/>
      </c>
      <c r="E48" s="16" t="str">
        <f>IF($F$14="","",IF($F$14="Hourly","",IF($E$20="","",(IF($E$20="User Defined",AADT!D19,IF($E$20="Urban",AADT!G19,IF($E$20="Rural",AADT!J19,"ERR")))))))</f>
        <v/>
      </c>
      <c r="F48" s="105" t="str">
        <f t="shared" si="9"/>
        <v/>
      </c>
      <c r="G48" s="108"/>
      <c r="H48" s="27">
        <f t="shared" si="0"/>
        <v>5</v>
      </c>
      <c r="I48" s="28">
        <f t="shared" si="1"/>
        <v>0.97560975609756106</v>
      </c>
      <c r="J48" s="29">
        <f t="shared" si="10"/>
        <v>1639.9999999999998</v>
      </c>
      <c r="K48" s="148"/>
      <c r="L48" s="29">
        <f t="shared" si="2"/>
        <v>1639.9999999999998</v>
      </c>
      <c r="M48" s="148">
        <v>1</v>
      </c>
      <c r="N48" s="16">
        <f t="shared" si="3"/>
        <v>2</v>
      </c>
      <c r="O48" s="45"/>
      <c r="P48" s="46"/>
      <c r="Q48" s="29">
        <f t="shared" si="4"/>
        <v>2400</v>
      </c>
      <c r="R48" s="105">
        <f t="shared" si="11"/>
        <v>0</v>
      </c>
      <c r="S48" s="27">
        <f t="shared" si="5"/>
        <v>0</v>
      </c>
      <c r="T48" s="27">
        <f t="shared" si="15"/>
        <v>0</v>
      </c>
      <c r="U48" s="29">
        <f t="shared" si="12"/>
        <v>0</v>
      </c>
      <c r="V48" s="27">
        <f t="shared" si="6"/>
        <v>0</v>
      </c>
      <c r="W48" s="27">
        <f t="shared" si="16"/>
        <v>0</v>
      </c>
      <c r="X48" s="29">
        <f t="shared" si="13"/>
        <v>0</v>
      </c>
      <c r="Y48" s="27">
        <f t="shared" si="7"/>
        <v>0</v>
      </c>
      <c r="Z48" s="27">
        <f t="shared" si="17"/>
        <v>43.106249999999818</v>
      </c>
      <c r="AA48" s="29">
        <f t="shared" si="14"/>
        <v>0</v>
      </c>
      <c r="AB48" s="27">
        <f t="shared" si="8"/>
        <v>0</v>
      </c>
      <c r="AC48" s="30">
        <f t="shared" si="18"/>
        <v>43.106249999999818</v>
      </c>
      <c r="AD48" s="24"/>
      <c r="AE48" s="25">
        <f>IF(R47=0,H48,IF(R47&lt;J47,AVERAGE(H47:H48),IF(R47&lt;(J47+J46),AVERAGE(H46:H48),IF(R47&lt;SUM(J40:J47),AVERAGE(H45:H48),IF(R47&lt;SUM(J44:J47),AVERAGE(H44:H48),IF(R47&lt;SUM(J43:J47),AVERAGE(H43:H48),IF(R47&lt;SUM(J42:J47),AVERAGE(H42:H48),AVERAGE(H41:H48))))))))</f>
        <v>5</v>
      </c>
      <c r="AF48" s="25">
        <f t="shared" si="19"/>
        <v>5</v>
      </c>
      <c r="AG48" s="25">
        <f t="shared" si="20"/>
        <v>5</v>
      </c>
      <c r="AH48" s="25">
        <f t="shared" si="21"/>
        <v>5</v>
      </c>
      <c r="AI48" s="2"/>
      <c r="AJ48" s="2"/>
      <c r="AK48" s="2"/>
      <c r="AL48" s="2"/>
      <c r="AM48" s="2"/>
      <c r="AN48" s="2"/>
      <c r="AO48" s="2"/>
      <c r="AP48" s="2"/>
    </row>
    <row r="49" spans="1:42" ht="15.65" customHeight="1" x14ac:dyDescent="0.35">
      <c r="A49" s="70" t="s">
        <v>28</v>
      </c>
      <c r="B49" s="131">
        <v>1600</v>
      </c>
      <c r="C49" s="26" t="str">
        <f>IF($F$14="","",IF($F$14="Hourly","",IF($E$20="","",(IF($E$20="User Defined",AADT!B20,IF($E$20="Urban",AADT!E20,IF($E$20="Rural",AADT!H20,"ERR")))))))</f>
        <v/>
      </c>
      <c r="D49" s="158" t="str">
        <f>IF($F$14="","",IF($F$14="Hourly","",IF($E$20="","",(IF($E$20="User Defined",AADT!C20,IF($E$20="Urban",AADT!F20,IF($E$20="Rural",AADT!I20,"ERR")))))))</f>
        <v/>
      </c>
      <c r="E49" s="16" t="str">
        <f>IF($F$14="","",IF($F$14="Hourly","",IF($E$20="","",(IF($E$20="User Defined",AADT!D20,IF($E$20="Urban",AADT!G20,IF($E$20="Rural",AADT!J20,"ERR")))))))</f>
        <v/>
      </c>
      <c r="F49" s="105" t="str">
        <f t="shared" si="9"/>
        <v/>
      </c>
      <c r="G49" s="108"/>
      <c r="H49" s="27">
        <f t="shared" si="0"/>
        <v>5</v>
      </c>
      <c r="I49" s="28">
        <f t="shared" si="1"/>
        <v>0.97560975609756106</v>
      </c>
      <c r="J49" s="29">
        <f t="shared" si="10"/>
        <v>1639.9999999999998</v>
      </c>
      <c r="K49" s="42"/>
      <c r="L49" s="29">
        <f t="shared" si="2"/>
        <v>1639.9999999999998</v>
      </c>
      <c r="M49" s="148">
        <v>1</v>
      </c>
      <c r="N49" s="16">
        <f t="shared" si="3"/>
        <v>2</v>
      </c>
      <c r="O49" s="45"/>
      <c r="P49" s="46"/>
      <c r="Q49" s="29">
        <f t="shared" si="4"/>
        <v>2400</v>
      </c>
      <c r="R49" s="105">
        <f t="shared" si="11"/>
        <v>0</v>
      </c>
      <c r="S49" s="27">
        <f t="shared" si="5"/>
        <v>0</v>
      </c>
      <c r="T49" s="27">
        <f t="shared" si="15"/>
        <v>0</v>
      </c>
      <c r="U49" s="29">
        <f t="shared" si="12"/>
        <v>0</v>
      </c>
      <c r="V49" s="27">
        <f t="shared" si="6"/>
        <v>0</v>
      </c>
      <c r="W49" s="27">
        <f t="shared" si="16"/>
        <v>0</v>
      </c>
      <c r="X49" s="29">
        <f t="shared" si="13"/>
        <v>0</v>
      </c>
      <c r="Y49" s="27">
        <f t="shared" si="7"/>
        <v>0</v>
      </c>
      <c r="Z49" s="27">
        <f t="shared" si="17"/>
        <v>0</v>
      </c>
      <c r="AA49" s="29">
        <f t="shared" si="14"/>
        <v>0</v>
      </c>
      <c r="AB49" s="27">
        <f t="shared" si="8"/>
        <v>0</v>
      </c>
      <c r="AC49" s="30">
        <f t="shared" si="18"/>
        <v>0</v>
      </c>
      <c r="AD49" s="24"/>
      <c r="AE49" s="25">
        <f>IF(R48=0,H49,IF(R48&lt;J48,AVERAGE(H48:H49),IF(R48&lt;(J48+J47),AVERAGE(H47:H49),IF(R48&lt;SUM(J40:J48),AVERAGE(H46:H49),IF(R48&lt;SUM(J45:J48),AVERAGE(H45:H49),IF(R48&lt;SUM(J44:J48),AVERAGE(H44:H49),IF(R48&lt;SUM(J43:J48),AVERAGE(H43:H49),AVERAGE(H42:H49))))))))</f>
        <v>5</v>
      </c>
      <c r="AF49" s="25">
        <f t="shared" si="19"/>
        <v>5</v>
      </c>
      <c r="AG49" s="25">
        <f t="shared" si="20"/>
        <v>5</v>
      </c>
      <c r="AH49" s="25">
        <f t="shared" si="21"/>
        <v>5</v>
      </c>
      <c r="AI49" s="2"/>
      <c r="AJ49" s="2"/>
      <c r="AK49" s="2"/>
      <c r="AL49" s="2"/>
      <c r="AM49" s="2"/>
      <c r="AN49" s="2"/>
      <c r="AO49" s="2"/>
      <c r="AP49" s="2"/>
    </row>
    <row r="50" spans="1:42" ht="15.65" customHeight="1" x14ac:dyDescent="0.35">
      <c r="A50" s="70" t="s">
        <v>29</v>
      </c>
      <c r="B50" s="131">
        <v>1600</v>
      </c>
      <c r="C50" s="26" t="str">
        <f>IF($F$14="","",IF($F$14="Hourly","",IF($E$20="","",(IF($E$20="User Defined",AADT!B21,IF($E$20="Urban",AADT!E21,IF($E$20="Rural",AADT!H21,"ERR")))))))</f>
        <v/>
      </c>
      <c r="D50" s="158" t="str">
        <f>IF($F$14="","",IF($F$14="Hourly","",IF($E$20="","",(IF($E$20="User Defined",AADT!C21,IF($E$20="Urban",AADT!F21,IF($E$20="Rural",AADT!I21,"ERR")))))))</f>
        <v/>
      </c>
      <c r="E50" s="16" t="str">
        <f>IF($F$14="","",IF($F$14="Hourly","",IF($E$20="","",(IF($E$20="User Defined",AADT!D21,IF($E$20="Urban",AADT!G21,IF($E$20="Rural",AADT!J21,"ERR")))))))</f>
        <v/>
      </c>
      <c r="F50" s="105" t="str">
        <f t="shared" si="9"/>
        <v/>
      </c>
      <c r="G50" s="108"/>
      <c r="H50" s="27">
        <f t="shared" si="0"/>
        <v>5</v>
      </c>
      <c r="I50" s="28">
        <f t="shared" si="1"/>
        <v>0.97560975609756106</v>
      </c>
      <c r="J50" s="29">
        <f t="shared" si="10"/>
        <v>1639.9999999999998</v>
      </c>
      <c r="K50" s="148"/>
      <c r="L50" s="29">
        <f t="shared" si="2"/>
        <v>1639.9999999999998</v>
      </c>
      <c r="M50" s="148">
        <v>1</v>
      </c>
      <c r="N50" s="16">
        <f t="shared" si="3"/>
        <v>2</v>
      </c>
      <c r="O50" s="45"/>
      <c r="P50" s="46"/>
      <c r="Q50" s="29">
        <f t="shared" si="4"/>
        <v>2400</v>
      </c>
      <c r="R50" s="105">
        <f t="shared" si="11"/>
        <v>0</v>
      </c>
      <c r="S50" s="27">
        <f t="shared" si="5"/>
        <v>0</v>
      </c>
      <c r="T50" s="27">
        <f t="shared" si="15"/>
        <v>0</v>
      </c>
      <c r="U50" s="29">
        <f t="shared" si="12"/>
        <v>0</v>
      </c>
      <c r="V50" s="27">
        <f t="shared" si="6"/>
        <v>0</v>
      </c>
      <c r="W50" s="27">
        <f t="shared" si="16"/>
        <v>0</v>
      </c>
      <c r="X50" s="29">
        <f t="shared" si="13"/>
        <v>0</v>
      </c>
      <c r="Y50" s="27">
        <f t="shared" si="7"/>
        <v>0</v>
      </c>
      <c r="Z50" s="27">
        <f t="shared" si="17"/>
        <v>0</v>
      </c>
      <c r="AA50" s="29">
        <f t="shared" si="14"/>
        <v>0</v>
      </c>
      <c r="AB50" s="27">
        <f t="shared" si="8"/>
        <v>0</v>
      </c>
      <c r="AC50" s="30">
        <f t="shared" si="18"/>
        <v>0</v>
      </c>
      <c r="AD50" s="24"/>
      <c r="AE50" s="25">
        <f>IF(R49=0,H50,IF(R49&lt;J49,AVERAGE(H49:H50),IF(R49&lt;(J49+J48),AVERAGE(H48:H50),IF(R49&lt;SUM(J40:J49),AVERAGE(H47:H50),IF(R49&lt;SUM(J46:J49),AVERAGE(H46:H50),IF(R49&lt;SUM(J45:J49),AVERAGE(H45:H50),IF(R49&lt;SUM(J44:J49),AVERAGE(H44:H50),AVERAGE(H43:H50))))))))</f>
        <v>5</v>
      </c>
      <c r="AF50" s="25">
        <f t="shared" si="19"/>
        <v>5</v>
      </c>
      <c r="AG50" s="25">
        <f t="shared" si="20"/>
        <v>5</v>
      </c>
      <c r="AH50" s="25">
        <f t="shared" si="21"/>
        <v>5</v>
      </c>
      <c r="AI50" s="2"/>
      <c r="AJ50" s="2"/>
      <c r="AK50" s="2"/>
      <c r="AL50" s="2"/>
      <c r="AM50" s="2"/>
      <c r="AN50" s="2"/>
      <c r="AO50" s="2"/>
      <c r="AP50" s="2"/>
    </row>
    <row r="51" spans="1:42" ht="15.65" customHeight="1" x14ac:dyDescent="0.35">
      <c r="A51" s="70" t="s">
        <v>30</v>
      </c>
      <c r="B51" s="131">
        <v>1900</v>
      </c>
      <c r="C51" s="26" t="str">
        <f>IF($F$14="","",IF($F$14="Hourly","",IF($E$20="","",(IF($E$20="User Defined",AADT!B22,IF($E$20="Urban",AADT!E22,IF($E$20="Rural",AADT!H22,"ERR")))))))</f>
        <v/>
      </c>
      <c r="D51" s="158" t="str">
        <f>IF($F$14="","",IF($F$14="Hourly","",IF($E$20="","",(IF($E$20="User Defined",AADT!C22,IF($E$20="Urban",AADT!F22,IF($E$20="Rural",AADT!I22,"ERR")))))))</f>
        <v/>
      </c>
      <c r="E51" s="16" t="str">
        <f>IF($F$14="","",IF($F$14="Hourly","",IF($E$20="","",(IF($E$20="User Defined",AADT!D22,IF($E$20="Urban",AADT!G22,IF($E$20="Rural",AADT!J22,"ERR")))))))</f>
        <v/>
      </c>
      <c r="F51" s="105" t="str">
        <f t="shared" si="9"/>
        <v/>
      </c>
      <c r="G51" s="108"/>
      <c r="H51" s="27">
        <f t="shared" si="0"/>
        <v>5</v>
      </c>
      <c r="I51" s="28">
        <f t="shared" si="1"/>
        <v>0.97560975609756106</v>
      </c>
      <c r="J51" s="29">
        <f t="shared" si="10"/>
        <v>1947.4999999999998</v>
      </c>
      <c r="K51" s="42"/>
      <c r="L51" s="29">
        <f t="shared" si="2"/>
        <v>1947.4999999999998</v>
      </c>
      <c r="M51" s="148">
        <v>1</v>
      </c>
      <c r="N51" s="16">
        <f t="shared" si="3"/>
        <v>2</v>
      </c>
      <c r="O51" s="45"/>
      <c r="P51" s="46"/>
      <c r="Q51" s="29">
        <f t="shared" si="4"/>
        <v>2400</v>
      </c>
      <c r="R51" s="105">
        <f t="shared" si="11"/>
        <v>0</v>
      </c>
      <c r="S51" s="27">
        <f t="shared" si="5"/>
        <v>0</v>
      </c>
      <c r="T51" s="27">
        <f t="shared" si="15"/>
        <v>0</v>
      </c>
      <c r="U51" s="29">
        <f t="shared" si="12"/>
        <v>0</v>
      </c>
      <c r="V51" s="27">
        <f t="shared" si="6"/>
        <v>0</v>
      </c>
      <c r="W51" s="27">
        <f t="shared" si="16"/>
        <v>0</v>
      </c>
      <c r="X51" s="29">
        <f t="shared" si="13"/>
        <v>0</v>
      </c>
      <c r="Y51" s="27">
        <f t="shared" si="7"/>
        <v>0</v>
      </c>
      <c r="Z51" s="27">
        <f t="shared" si="17"/>
        <v>0</v>
      </c>
      <c r="AA51" s="29">
        <f t="shared" si="14"/>
        <v>0</v>
      </c>
      <c r="AB51" s="27">
        <f t="shared" si="8"/>
        <v>0</v>
      </c>
      <c r="AC51" s="30">
        <f t="shared" si="18"/>
        <v>0</v>
      </c>
      <c r="AD51" s="24"/>
      <c r="AE51" s="25">
        <f>IF(R50=0,H51,IF(R50&lt;J50,AVERAGE(H50:H51),IF(R50&lt;(J50+J49),AVERAGE(H49:H51),IF(R50&lt;SUM(J40:J50),AVERAGE(H48:H51),IF(R50&lt;SUM(J47:J50),AVERAGE(H47:H51),IF(R50&lt;SUM(J46:J50),AVERAGE(H46:H51),IF(R50&lt;SUM(J45:J50),AVERAGE(H45:H51),AVERAGE(H44:H51))))))))</f>
        <v>5</v>
      </c>
      <c r="AF51" s="25">
        <f t="shared" si="19"/>
        <v>5</v>
      </c>
      <c r="AG51" s="25">
        <f t="shared" si="20"/>
        <v>5</v>
      </c>
      <c r="AH51" s="25">
        <f t="shared" si="21"/>
        <v>5</v>
      </c>
      <c r="AI51" s="2"/>
      <c r="AJ51" s="2"/>
      <c r="AK51" s="2"/>
      <c r="AL51" s="2"/>
      <c r="AM51" s="2"/>
      <c r="AN51" s="2"/>
      <c r="AO51" s="2"/>
      <c r="AP51" s="2"/>
    </row>
    <row r="52" spans="1:42" ht="15.65" customHeight="1" x14ac:dyDescent="0.35">
      <c r="A52" s="70" t="s">
        <v>31</v>
      </c>
      <c r="B52" s="131">
        <v>2289</v>
      </c>
      <c r="C52" s="26" t="str">
        <f>IF($F$14="","",IF($F$14="Hourly","",IF($E$20="","",(IF($E$20="User Defined",AADT!B23,IF($E$20="Urban",AADT!E23,IF($E$20="Rural",AADT!H23,"ERR")))))))</f>
        <v/>
      </c>
      <c r="D52" s="158" t="str">
        <f>IF($F$14="","",IF($F$14="Hourly","",IF($E$20="","",(IF($E$20="User Defined",AADT!C23,IF($E$20="Urban",AADT!F23,IF($E$20="Rural",AADT!I23,"ERR")))))))</f>
        <v/>
      </c>
      <c r="E52" s="16" t="str">
        <f>IF($F$14="","",IF($F$14="Hourly","",IF($E$20="","",(IF($E$20="User Defined",AADT!D23,IF($E$20="Urban",AADT!G23,IF($E$20="Rural",AADT!J23,"ERR")))))))</f>
        <v/>
      </c>
      <c r="F52" s="105" t="str">
        <f t="shared" si="9"/>
        <v/>
      </c>
      <c r="G52" s="108"/>
      <c r="H52" s="27">
        <f t="shared" si="0"/>
        <v>5</v>
      </c>
      <c r="I52" s="28">
        <f t="shared" si="1"/>
        <v>0.97560975609756106</v>
      </c>
      <c r="J52" s="29">
        <f t="shared" si="10"/>
        <v>2346.2249999999999</v>
      </c>
      <c r="K52" s="148"/>
      <c r="L52" s="29">
        <f t="shared" si="2"/>
        <v>2346.2249999999999</v>
      </c>
      <c r="M52" s="148">
        <v>1</v>
      </c>
      <c r="N52" s="16">
        <f t="shared" si="3"/>
        <v>2</v>
      </c>
      <c r="O52" s="45"/>
      <c r="P52" s="46"/>
      <c r="Q52" s="29">
        <f t="shared" si="4"/>
        <v>2400</v>
      </c>
      <c r="R52" s="105">
        <f t="shared" si="11"/>
        <v>0</v>
      </c>
      <c r="S52" s="27">
        <f t="shared" si="5"/>
        <v>0</v>
      </c>
      <c r="T52" s="27">
        <f t="shared" si="15"/>
        <v>0</v>
      </c>
      <c r="U52" s="29">
        <f t="shared" si="12"/>
        <v>0</v>
      </c>
      <c r="V52" s="27">
        <f t="shared" si="6"/>
        <v>0</v>
      </c>
      <c r="W52" s="27">
        <f t="shared" si="16"/>
        <v>0</v>
      </c>
      <c r="X52" s="29">
        <f t="shared" si="13"/>
        <v>0</v>
      </c>
      <c r="Y52" s="27">
        <f t="shared" si="7"/>
        <v>0</v>
      </c>
      <c r="Z52" s="27">
        <f t="shared" si="17"/>
        <v>0</v>
      </c>
      <c r="AA52" s="29">
        <f t="shared" si="14"/>
        <v>0</v>
      </c>
      <c r="AB52" s="27">
        <f t="shared" si="8"/>
        <v>0</v>
      </c>
      <c r="AC52" s="30">
        <f t="shared" si="18"/>
        <v>0</v>
      </c>
      <c r="AD52" s="24"/>
      <c r="AE52" s="25">
        <f>IF(R51=0,H52,IF(R51&lt;J51,AVERAGE(H51:H52),IF(R51&lt;(J51+J50),AVERAGE(H50:H52),IF(R51&lt;SUM(J40:J51),AVERAGE(H49:H52),IF(R51&lt;SUM(J48:J51),AVERAGE(H48:H52),IF(R51&lt;SUM(J47:J51),AVERAGE(H47:H52),IF(R51&lt;SUM(J46:J51),AVERAGE(H46:H52),AVERAGE(H45:H52))))))))</f>
        <v>5</v>
      </c>
      <c r="AF52" s="25">
        <f t="shared" si="19"/>
        <v>5</v>
      </c>
      <c r="AG52" s="25">
        <f t="shared" si="20"/>
        <v>5</v>
      </c>
      <c r="AH52" s="25">
        <f t="shared" si="21"/>
        <v>5</v>
      </c>
      <c r="AI52" s="2"/>
      <c r="AJ52" s="2"/>
      <c r="AK52" s="2"/>
      <c r="AL52" s="2"/>
      <c r="AM52" s="2"/>
      <c r="AN52" s="2"/>
      <c r="AO52" s="2"/>
      <c r="AP52" s="2"/>
    </row>
    <row r="53" spans="1:42" ht="15.65" customHeight="1" x14ac:dyDescent="0.35">
      <c r="A53" s="70" t="s">
        <v>32</v>
      </c>
      <c r="B53" s="131">
        <v>1800</v>
      </c>
      <c r="C53" s="26" t="str">
        <f>IF($F$14="","",IF($F$14="Hourly","",IF($E$20="","",(IF($E$20="User Defined",AADT!B24,IF($E$20="Urban",AADT!E24,IF($E$20="Rural",AADT!H24,"ERR")))))))</f>
        <v/>
      </c>
      <c r="D53" s="158" t="str">
        <f>IF($F$14="","",IF($F$14="Hourly","",IF($E$20="","",(IF($E$20="User Defined",AADT!C24,IF($E$20="Urban",AADT!F24,IF($E$20="Rural",AADT!I24,"ERR")))))))</f>
        <v/>
      </c>
      <c r="E53" s="16" t="str">
        <f>IF($F$14="","",IF($F$14="Hourly","",IF($E$20="","",(IF($E$20="User Defined",AADT!D24,IF($E$20="Urban",AADT!G24,IF($E$20="Rural",AADT!J24,"ERR")))))))</f>
        <v/>
      </c>
      <c r="F53" s="105" t="str">
        <f t="shared" si="9"/>
        <v/>
      </c>
      <c r="G53" s="108"/>
      <c r="H53" s="27">
        <f t="shared" si="0"/>
        <v>5</v>
      </c>
      <c r="I53" s="28">
        <f t="shared" si="1"/>
        <v>0.97560975609756106</v>
      </c>
      <c r="J53" s="29">
        <f t="shared" si="10"/>
        <v>1844.9999999999998</v>
      </c>
      <c r="K53" s="42"/>
      <c r="L53" s="29">
        <f t="shared" si="2"/>
        <v>1844.9999999999998</v>
      </c>
      <c r="M53" s="148">
        <v>1</v>
      </c>
      <c r="N53" s="16">
        <f t="shared" si="3"/>
        <v>2</v>
      </c>
      <c r="O53" s="45"/>
      <c r="P53" s="46"/>
      <c r="Q53" s="29">
        <f t="shared" si="4"/>
        <v>2400</v>
      </c>
      <c r="R53" s="105">
        <f t="shared" si="11"/>
        <v>0</v>
      </c>
      <c r="S53" s="27">
        <f t="shared" si="5"/>
        <v>0</v>
      </c>
      <c r="T53" s="27">
        <f t="shared" si="15"/>
        <v>0</v>
      </c>
      <c r="U53" s="29">
        <f t="shared" si="12"/>
        <v>0</v>
      </c>
      <c r="V53" s="27">
        <f t="shared" si="6"/>
        <v>0</v>
      </c>
      <c r="W53" s="27">
        <f t="shared" si="16"/>
        <v>0</v>
      </c>
      <c r="X53" s="29">
        <f t="shared" si="13"/>
        <v>0</v>
      </c>
      <c r="Y53" s="27">
        <f t="shared" si="7"/>
        <v>0</v>
      </c>
      <c r="Z53" s="27">
        <f t="shared" si="17"/>
        <v>0</v>
      </c>
      <c r="AA53" s="29">
        <f t="shared" si="14"/>
        <v>0</v>
      </c>
      <c r="AB53" s="27">
        <f t="shared" si="8"/>
        <v>0</v>
      </c>
      <c r="AC53" s="30">
        <f t="shared" si="18"/>
        <v>0</v>
      </c>
      <c r="AD53" s="24"/>
      <c r="AE53" s="25">
        <f>IF(R52=0,H53,IF(R52&lt;J52,AVERAGE(H52:H53),IF(R52&lt;(J52+J51),AVERAGE(H51:H53),IF(R52&lt;SUM(J40:J52),AVERAGE(H50:H53),IF(R52&lt;SUM(J49:J52),AVERAGE(H49:H53),IF(R52&lt;SUM(J48:J52),AVERAGE(H48:H53),IF(R52&lt;SUM(J47:J52),AVERAGE(H47:H53),AVERAGE(H46:H53))))))))</f>
        <v>5</v>
      </c>
      <c r="AF53" s="25">
        <f t="shared" si="19"/>
        <v>5</v>
      </c>
      <c r="AG53" s="25">
        <f t="shared" si="20"/>
        <v>5</v>
      </c>
      <c r="AH53" s="25">
        <f t="shared" si="21"/>
        <v>5</v>
      </c>
      <c r="AI53" s="2"/>
      <c r="AJ53" s="2"/>
      <c r="AK53" s="2"/>
      <c r="AL53" s="2"/>
      <c r="AM53" s="2"/>
      <c r="AN53" s="2"/>
      <c r="AO53" s="2"/>
      <c r="AP53" s="2"/>
    </row>
    <row r="54" spans="1:42" ht="15.65" customHeight="1" x14ac:dyDescent="0.35">
      <c r="A54" s="70" t="s">
        <v>33</v>
      </c>
      <c r="B54" s="131">
        <v>1100</v>
      </c>
      <c r="C54" s="26" t="str">
        <f>IF($F$14="","",IF($F$14="Hourly","",IF($E$20="","",(IF($E$20="User Defined",AADT!B25,IF($E$20="Urban",AADT!E25,IF($E$20="Rural",AADT!H25,"ERR")))))))</f>
        <v/>
      </c>
      <c r="D54" s="158" t="str">
        <f>IF($F$14="","",IF($F$14="Hourly","",IF($E$20="","",(IF($E$20="User Defined",AADT!C25,IF($E$20="Urban",AADT!F25,IF($E$20="Rural",AADT!I25,"ERR")))))))</f>
        <v/>
      </c>
      <c r="E54" s="16" t="str">
        <f>IF($F$14="","",IF($F$14="Hourly","",IF($E$20="","",(IF($E$20="User Defined",AADT!D25,IF($E$20="Urban",AADT!G25,IF($E$20="Rural",AADT!J25,"ERR")))))))</f>
        <v/>
      </c>
      <c r="F54" s="105" t="str">
        <f t="shared" si="9"/>
        <v/>
      </c>
      <c r="G54" s="108"/>
      <c r="H54" s="27">
        <f t="shared" si="0"/>
        <v>5</v>
      </c>
      <c r="I54" s="28">
        <f t="shared" si="1"/>
        <v>0.97560975609756106</v>
      </c>
      <c r="J54" s="29">
        <f t="shared" si="10"/>
        <v>1127.5</v>
      </c>
      <c r="K54" s="148"/>
      <c r="L54" s="29">
        <f t="shared" si="2"/>
        <v>1127.5</v>
      </c>
      <c r="M54" s="148">
        <v>1</v>
      </c>
      <c r="N54" s="16">
        <f t="shared" si="3"/>
        <v>2</v>
      </c>
      <c r="O54" s="45"/>
      <c r="P54" s="46"/>
      <c r="Q54" s="29">
        <f t="shared" si="4"/>
        <v>2400</v>
      </c>
      <c r="R54" s="105">
        <f t="shared" si="11"/>
        <v>0</v>
      </c>
      <c r="S54" s="27">
        <f t="shared" si="5"/>
        <v>0</v>
      </c>
      <c r="T54" s="27">
        <f t="shared" si="15"/>
        <v>0</v>
      </c>
      <c r="U54" s="29">
        <f t="shared" si="12"/>
        <v>0</v>
      </c>
      <c r="V54" s="27">
        <f t="shared" si="6"/>
        <v>0</v>
      </c>
      <c r="W54" s="27">
        <f t="shared" si="16"/>
        <v>0</v>
      </c>
      <c r="X54" s="29">
        <f t="shared" si="13"/>
        <v>0</v>
      </c>
      <c r="Y54" s="27">
        <f t="shared" si="7"/>
        <v>0</v>
      </c>
      <c r="Z54" s="27">
        <f t="shared" si="17"/>
        <v>0</v>
      </c>
      <c r="AA54" s="29">
        <f t="shared" si="14"/>
        <v>0</v>
      </c>
      <c r="AB54" s="27">
        <f t="shared" si="8"/>
        <v>0</v>
      </c>
      <c r="AC54" s="30">
        <f t="shared" si="18"/>
        <v>0</v>
      </c>
      <c r="AD54" s="24"/>
      <c r="AE54" s="25">
        <f>IF(R53=0,H54,IF(R53&lt;J53,AVERAGE(H53:H54),IF(R53&lt;(J53+J52),AVERAGE(H52:H54),IF(R53&lt;SUM(J40:J53),AVERAGE(H51:H54),IF(R53&lt;SUM(J50:J53),AVERAGE(H50:H54),IF(R53&lt;SUM(J49:J53),AVERAGE(H49:H54),IF(R53&lt;SUM(J48:J53),AVERAGE(H48:H54),AVERAGE(H47:H54))))))))</f>
        <v>5</v>
      </c>
      <c r="AF54" s="25">
        <f t="shared" si="19"/>
        <v>5</v>
      </c>
      <c r="AG54" s="25">
        <f t="shared" si="20"/>
        <v>5</v>
      </c>
      <c r="AH54" s="25">
        <f t="shared" si="21"/>
        <v>5</v>
      </c>
      <c r="AI54" s="2"/>
      <c r="AJ54" s="2"/>
      <c r="AK54" s="2"/>
      <c r="AL54" s="2"/>
      <c r="AM54" s="2"/>
      <c r="AN54" s="2"/>
      <c r="AO54" s="2"/>
      <c r="AP54" s="2"/>
    </row>
    <row r="55" spans="1:42" ht="15.65" customHeight="1" x14ac:dyDescent="0.35">
      <c r="A55" s="70" t="s">
        <v>34</v>
      </c>
      <c r="B55" s="131">
        <v>900</v>
      </c>
      <c r="C55" s="26" t="str">
        <f>IF($F$14="","",IF($F$14="Hourly","",IF($E$20="","",(IF($E$20="User Defined",AADT!B26,IF($E$20="Urban",AADT!E26,IF($E$20="Rural",AADT!H26,"ERR")))))))</f>
        <v/>
      </c>
      <c r="D55" s="158" t="str">
        <f>IF($F$14="","",IF($F$14="Hourly","",IF($E$20="","",(IF($E$20="User Defined",AADT!C26,IF($E$20="Urban",AADT!F26,IF($E$20="Rural",AADT!I26,"ERR")))))))</f>
        <v/>
      </c>
      <c r="E55" s="16" t="str">
        <f>IF($F$14="","",IF($F$14="Hourly","",IF($E$20="","",(IF($E$20="User Defined",AADT!D26,IF($E$20="Urban",AADT!G26,IF($E$20="Rural",AADT!J26,"ERR")))))))</f>
        <v/>
      </c>
      <c r="F55" s="105" t="str">
        <f t="shared" si="9"/>
        <v/>
      </c>
      <c r="G55" s="108"/>
      <c r="H55" s="27">
        <f t="shared" si="0"/>
        <v>5</v>
      </c>
      <c r="I55" s="28">
        <f t="shared" si="1"/>
        <v>0.97560975609756106</v>
      </c>
      <c r="J55" s="29">
        <f t="shared" si="10"/>
        <v>922.49999999999989</v>
      </c>
      <c r="K55" s="42"/>
      <c r="L55" s="29">
        <f t="shared" si="2"/>
        <v>922.49999999999989</v>
      </c>
      <c r="M55" s="148">
        <v>1</v>
      </c>
      <c r="N55" s="16">
        <f t="shared" si="3"/>
        <v>2</v>
      </c>
      <c r="O55" s="45"/>
      <c r="P55" s="46"/>
      <c r="Q55" s="29">
        <f t="shared" si="4"/>
        <v>2400</v>
      </c>
      <c r="R55" s="105">
        <f t="shared" si="11"/>
        <v>0</v>
      </c>
      <c r="S55" s="27">
        <f t="shared" si="5"/>
        <v>0</v>
      </c>
      <c r="T55" s="27">
        <f t="shared" si="15"/>
        <v>0</v>
      </c>
      <c r="U55" s="29">
        <f t="shared" si="12"/>
        <v>0</v>
      </c>
      <c r="V55" s="27">
        <f t="shared" si="6"/>
        <v>0</v>
      </c>
      <c r="W55" s="27">
        <f t="shared" si="16"/>
        <v>0</v>
      </c>
      <c r="X55" s="29">
        <f t="shared" si="13"/>
        <v>0</v>
      </c>
      <c r="Y55" s="27">
        <f t="shared" si="7"/>
        <v>0</v>
      </c>
      <c r="Z55" s="27">
        <f t="shared" si="17"/>
        <v>0</v>
      </c>
      <c r="AA55" s="29">
        <f t="shared" si="14"/>
        <v>0</v>
      </c>
      <c r="AB55" s="27">
        <f t="shared" si="8"/>
        <v>0</v>
      </c>
      <c r="AC55" s="30">
        <f t="shared" si="18"/>
        <v>0</v>
      </c>
      <c r="AD55" s="24"/>
      <c r="AE55" s="25">
        <f>IF(R54=0,H55,IF(R54&lt;J54,AVERAGE(H54:H55),IF(R54&lt;(J54+J53),AVERAGE(H53:H55),IF(R54&lt;SUM(J40:J54),AVERAGE(H52:H55),IF(R54&lt;SUM(J51:J54),AVERAGE(H51:H55),IF(R54&lt;SUM(J50:J54),AVERAGE(H50:H55),IF(R54&lt;SUM(J49:J54),AVERAGE(H49:H55),AVERAGE(H48:H55))))))))</f>
        <v>5</v>
      </c>
      <c r="AF55" s="25">
        <f t="shared" si="19"/>
        <v>5</v>
      </c>
      <c r="AG55" s="25">
        <f t="shared" si="20"/>
        <v>5</v>
      </c>
      <c r="AH55" s="25">
        <f t="shared" si="21"/>
        <v>5</v>
      </c>
      <c r="AI55" s="2"/>
      <c r="AJ55" s="2"/>
      <c r="AK55" s="2"/>
      <c r="AL55" s="2"/>
      <c r="AM55" s="2"/>
      <c r="AN55" s="2"/>
      <c r="AO55" s="2"/>
      <c r="AP55" s="2"/>
    </row>
    <row r="56" spans="1:42" x14ac:dyDescent="0.35">
      <c r="A56" s="70" t="s">
        <v>35</v>
      </c>
      <c r="B56" s="131">
        <v>800</v>
      </c>
      <c r="C56" s="26" t="str">
        <f>IF($F$14="","",IF($F$14="Hourly","",IF($E$20="","",(IF($E$20="User Defined",AADT!B27,IF($E$20="Urban",AADT!E27,IF($E$20="Rural",AADT!H27,"ERR")))))))</f>
        <v/>
      </c>
      <c r="D56" s="158" t="str">
        <f>IF($F$14="","",IF($F$14="Hourly","",IF($E$20="","",(IF($E$20="User Defined",AADT!C27,IF($E$20="Urban",AADT!F27,IF($E$20="Rural",AADT!I27,"ERR")))))))</f>
        <v/>
      </c>
      <c r="E56" s="16" t="str">
        <f>IF($F$14="","",IF($F$14="Hourly","",IF($E$20="","",(IF($E$20="User Defined",AADT!D27,IF($E$20="Urban",AADT!G27,IF($E$20="Rural",AADT!J27,"ERR")))))))</f>
        <v/>
      </c>
      <c r="F56" s="105" t="str">
        <f t="shared" si="9"/>
        <v/>
      </c>
      <c r="G56" s="108"/>
      <c r="H56" s="27">
        <f t="shared" si="0"/>
        <v>5</v>
      </c>
      <c r="I56" s="28">
        <f t="shared" si="1"/>
        <v>0.97560975609756106</v>
      </c>
      <c r="J56" s="29">
        <f t="shared" si="10"/>
        <v>819.99999999999989</v>
      </c>
      <c r="K56" s="148"/>
      <c r="L56" s="29">
        <f t="shared" si="2"/>
        <v>819.99999999999989</v>
      </c>
      <c r="M56" s="148">
        <v>1</v>
      </c>
      <c r="N56" s="16">
        <f t="shared" si="3"/>
        <v>2</v>
      </c>
      <c r="O56" s="45"/>
      <c r="P56" s="46"/>
      <c r="Q56" s="29">
        <f t="shared" si="4"/>
        <v>2400</v>
      </c>
      <c r="R56" s="105">
        <f t="shared" si="11"/>
        <v>0</v>
      </c>
      <c r="S56" s="27">
        <f t="shared" si="5"/>
        <v>0</v>
      </c>
      <c r="T56" s="27">
        <f t="shared" si="15"/>
        <v>0</v>
      </c>
      <c r="U56" s="29">
        <f t="shared" si="12"/>
        <v>0</v>
      </c>
      <c r="V56" s="27">
        <f t="shared" si="6"/>
        <v>0</v>
      </c>
      <c r="W56" s="27">
        <f t="shared" si="16"/>
        <v>0</v>
      </c>
      <c r="X56" s="29">
        <f t="shared" si="13"/>
        <v>0</v>
      </c>
      <c r="Y56" s="27">
        <f t="shared" si="7"/>
        <v>0</v>
      </c>
      <c r="Z56" s="27">
        <f t="shared" si="17"/>
        <v>0</v>
      </c>
      <c r="AA56" s="29">
        <f t="shared" si="14"/>
        <v>0</v>
      </c>
      <c r="AB56" s="27">
        <f t="shared" si="8"/>
        <v>0</v>
      </c>
      <c r="AC56" s="30">
        <f t="shared" si="18"/>
        <v>0</v>
      </c>
      <c r="AD56" s="24"/>
      <c r="AE56" s="25">
        <f>IF(R55=0,H56,IF(R55&lt;J55,AVERAGE(H55:H56),IF(R55&lt;(J55+J54),AVERAGE(H54:H56),IF(R55&lt;SUM(J40:J55),AVERAGE(H53:H56),IF(R55&lt;SUM(J52:J55),AVERAGE(H52:H56),IF(R55&lt;SUM(J51:J55),AVERAGE(H51:H56),IF(R55&lt;SUM(J50:J55),AVERAGE(H50:H56),AVERAGE(H49:H56))))))))</f>
        <v>5</v>
      </c>
      <c r="AF56" s="25">
        <f t="shared" si="19"/>
        <v>5</v>
      </c>
      <c r="AG56" s="25">
        <f t="shared" si="20"/>
        <v>5</v>
      </c>
      <c r="AH56" s="25">
        <f t="shared" si="21"/>
        <v>5</v>
      </c>
      <c r="AI56" s="2"/>
      <c r="AJ56" s="2"/>
      <c r="AK56" s="2"/>
      <c r="AL56" s="2"/>
      <c r="AM56" s="2"/>
      <c r="AN56" s="2"/>
      <c r="AO56" s="2"/>
      <c r="AP56" s="2"/>
    </row>
    <row r="57" spans="1:42" x14ac:dyDescent="0.35">
      <c r="A57" s="70" t="s">
        <v>36</v>
      </c>
      <c r="B57" s="131">
        <v>700</v>
      </c>
      <c r="C57" s="26" t="str">
        <f>IF($F$14="","",IF($F$14="Hourly","",IF($E$20="","",(IF($E$20="User Defined",AADT!B28,IF($E$20="Urban",AADT!E28,IF($E$20="Rural",AADT!H28,"ERR")))))))</f>
        <v/>
      </c>
      <c r="D57" s="158" t="str">
        <f>IF($F$14="","",IF($F$14="Hourly","",IF($E$20="","",(IF($E$20="User Defined",AADT!C28,IF($E$20="Urban",AADT!F28,IF($E$20="Rural",AADT!I28,"ERR")))))))</f>
        <v/>
      </c>
      <c r="E57" s="16" t="str">
        <f>IF($F$14="","",IF($F$14="Hourly","",IF($E$20="","",(IF($E$20="User Defined",AADT!D28,IF($E$20="Urban",AADT!G28,IF($E$20="Rural",AADT!J28,"ERR")))))))</f>
        <v/>
      </c>
      <c r="F57" s="105" t="str">
        <f t="shared" si="9"/>
        <v/>
      </c>
      <c r="G57" s="108"/>
      <c r="H57" s="27">
        <f t="shared" si="0"/>
        <v>5</v>
      </c>
      <c r="I57" s="28">
        <f t="shared" si="1"/>
        <v>0.97560975609756106</v>
      </c>
      <c r="J57" s="29">
        <f t="shared" si="10"/>
        <v>717.49999999999989</v>
      </c>
      <c r="K57" s="148"/>
      <c r="L57" s="29">
        <f t="shared" si="2"/>
        <v>717.49999999999989</v>
      </c>
      <c r="M57" s="148">
        <v>1</v>
      </c>
      <c r="N57" s="16">
        <f t="shared" si="3"/>
        <v>2</v>
      </c>
      <c r="O57" s="45"/>
      <c r="P57" s="46"/>
      <c r="Q57" s="29">
        <f t="shared" si="4"/>
        <v>2400</v>
      </c>
      <c r="R57" s="105">
        <f t="shared" si="11"/>
        <v>0</v>
      </c>
      <c r="S57" s="27">
        <f t="shared" si="5"/>
        <v>0</v>
      </c>
      <c r="T57" s="27">
        <f t="shared" si="15"/>
        <v>0</v>
      </c>
      <c r="U57" s="29">
        <f t="shared" si="12"/>
        <v>0</v>
      </c>
      <c r="V57" s="27">
        <f t="shared" si="6"/>
        <v>0</v>
      </c>
      <c r="W57" s="27">
        <f t="shared" si="16"/>
        <v>0</v>
      </c>
      <c r="X57" s="29">
        <f t="shared" si="13"/>
        <v>0</v>
      </c>
      <c r="Y57" s="27">
        <f t="shared" si="7"/>
        <v>0</v>
      </c>
      <c r="Z57" s="27">
        <f t="shared" si="17"/>
        <v>0</v>
      </c>
      <c r="AA57" s="29">
        <f t="shared" si="14"/>
        <v>0</v>
      </c>
      <c r="AB57" s="27">
        <f t="shared" si="8"/>
        <v>0</v>
      </c>
      <c r="AC57" s="30">
        <f t="shared" si="18"/>
        <v>0</v>
      </c>
      <c r="AD57" s="24"/>
      <c r="AE57" s="25">
        <f>IF(R56=0,H57,IF(R56&lt;J56,AVERAGE(H56:H57),IF(R56&lt;(J56+J55),AVERAGE(H55:H57),IF(R56&lt;SUM(J40:J56),AVERAGE(H54:H57),IF(R56&lt;SUM(J53:J56),AVERAGE(H53:H57),IF(R56&lt;SUM(J52:J56),AVERAGE(H52:H57),IF(R56&lt;SUM(J51:J56),AVERAGE(H51:H57),AVERAGE(H50:H57))))))))</f>
        <v>5</v>
      </c>
      <c r="AF57" s="25">
        <f t="shared" si="19"/>
        <v>5</v>
      </c>
      <c r="AG57" s="25">
        <f t="shared" si="20"/>
        <v>5</v>
      </c>
      <c r="AH57" s="25">
        <f t="shared" si="21"/>
        <v>5</v>
      </c>
      <c r="AI57" s="2"/>
      <c r="AJ57" s="2"/>
      <c r="AK57" s="2"/>
      <c r="AL57" s="2"/>
      <c r="AM57" s="2"/>
      <c r="AN57" s="2"/>
      <c r="AO57" s="2"/>
      <c r="AP57" s="2"/>
    </row>
    <row r="58" spans="1:42" x14ac:dyDescent="0.35">
      <c r="A58" s="71" t="s">
        <v>37</v>
      </c>
      <c r="B58" s="131">
        <v>500</v>
      </c>
      <c r="C58" s="60" t="str">
        <f>IF($F$14="","",IF($F$14="Hourly","",IF($E$20="","",(IF($E$20="User Defined",AADT!B29,IF($E$20="Urban",AADT!E29,IF($E$20="Rural",AADT!H29,"ERR")))))))</f>
        <v/>
      </c>
      <c r="D58" s="110" t="str">
        <f>IF($F$14="","",IF($F$14="Hourly","",IF($E$20="","",(IF($E$20="User Defined",AADT!C29,IF($E$20="Urban",AADT!F29,IF($E$20="Rural",AADT!I29,"ERR")))))))</f>
        <v/>
      </c>
      <c r="E58" s="17" t="str">
        <f>IF($F$14="","",IF($F$14="Hourly","",IF($E$20="","",(IF($E$20="User Defined",AADT!D29,IF($E$20="Urban",AADT!G29,IF($E$20="Rural",AADT!J29,"ERR")))))))</f>
        <v/>
      </c>
      <c r="F58" s="106" t="str">
        <f t="shared" si="9"/>
        <v/>
      </c>
      <c r="G58" s="109"/>
      <c r="H58" s="31">
        <f t="shared" si="0"/>
        <v>5</v>
      </c>
      <c r="I58" s="61">
        <f t="shared" si="1"/>
        <v>0.97560975609756106</v>
      </c>
      <c r="J58" s="32">
        <f t="shared" si="10"/>
        <v>512.5</v>
      </c>
      <c r="K58" s="62"/>
      <c r="L58" s="32">
        <f t="shared" si="2"/>
        <v>512.5</v>
      </c>
      <c r="M58" s="62">
        <v>1</v>
      </c>
      <c r="N58" s="17">
        <f t="shared" si="3"/>
        <v>2</v>
      </c>
      <c r="O58" s="63"/>
      <c r="P58" s="64"/>
      <c r="Q58" s="32">
        <f t="shared" si="4"/>
        <v>2400</v>
      </c>
      <c r="R58" s="106">
        <f t="shared" si="11"/>
        <v>0</v>
      </c>
      <c r="S58" s="31">
        <f t="shared" si="5"/>
        <v>0</v>
      </c>
      <c r="T58" s="31">
        <f t="shared" si="15"/>
        <v>0</v>
      </c>
      <c r="U58" s="32">
        <f t="shared" si="12"/>
        <v>0</v>
      </c>
      <c r="V58" s="31">
        <f t="shared" si="6"/>
        <v>0</v>
      </c>
      <c r="W58" s="31">
        <f t="shared" si="16"/>
        <v>0</v>
      </c>
      <c r="X58" s="29">
        <f t="shared" si="13"/>
        <v>0</v>
      </c>
      <c r="Y58" s="31">
        <f t="shared" si="7"/>
        <v>0</v>
      </c>
      <c r="Z58" s="31">
        <f t="shared" si="17"/>
        <v>0</v>
      </c>
      <c r="AA58" s="29">
        <f t="shared" si="14"/>
        <v>0</v>
      </c>
      <c r="AB58" s="31">
        <f t="shared" si="8"/>
        <v>0</v>
      </c>
      <c r="AC58" s="33">
        <f t="shared" si="18"/>
        <v>0</v>
      </c>
      <c r="AD58" s="24"/>
      <c r="AE58" s="25">
        <f>IF(R57=0,H58,IF(R57&lt;J57,AVERAGE(H57:H58),IF(R57&lt;(J57+J56),AVERAGE(H56:H58),IF(R57&lt;SUM(J40:J57),AVERAGE(H55:H58),IF(R57&lt;SUM(J54:J57),AVERAGE(H54:H58),IF(R57&lt;SUM(J53:J57),AVERAGE(H53:H58),IF(R57&lt;SUM(J52:J57),AVERAGE(H52:H58),AVERAGE(H51:H58))))))))</f>
        <v>5</v>
      </c>
      <c r="AF58" s="25">
        <f t="shared" si="19"/>
        <v>5</v>
      </c>
      <c r="AG58" s="25">
        <f t="shared" si="20"/>
        <v>5</v>
      </c>
      <c r="AH58" s="25">
        <f t="shared" si="21"/>
        <v>5</v>
      </c>
      <c r="AI58" s="2"/>
      <c r="AJ58" s="2"/>
      <c r="AK58" s="2"/>
      <c r="AL58" s="2"/>
      <c r="AM58" s="2"/>
      <c r="AN58" s="2"/>
      <c r="AO58" s="2"/>
      <c r="AP58" s="2"/>
    </row>
    <row r="59" spans="1:42" x14ac:dyDescent="0.35">
      <c r="A59" s="4"/>
      <c r="B59" s="1"/>
      <c r="C59" s="1"/>
      <c r="D59" s="1"/>
      <c r="E59" s="1"/>
      <c r="F59" s="1"/>
      <c r="G59" s="1"/>
      <c r="H59" s="1"/>
      <c r="I59" s="1"/>
      <c r="J59" s="1"/>
      <c r="K59" s="159"/>
      <c r="L59" s="1"/>
      <c r="M59" s="1"/>
      <c r="N59" s="1"/>
      <c r="O59" s="1"/>
      <c r="P59" s="1"/>
      <c r="Q59" s="1"/>
      <c r="R59" s="166" t="s">
        <v>147</v>
      </c>
      <c r="S59" s="167"/>
      <c r="T59" s="34">
        <f>SUM(T35:T58)</f>
        <v>0</v>
      </c>
      <c r="U59" s="166" t="s">
        <v>147</v>
      </c>
      <c r="V59" s="167"/>
      <c r="W59" s="34">
        <f>SUM(W35:W58)</f>
        <v>0</v>
      </c>
      <c r="X59" s="166" t="s">
        <v>147</v>
      </c>
      <c r="Y59" s="167"/>
      <c r="Z59" s="34">
        <f>SUM(Z35:Z58)</f>
        <v>12172.174999999996</v>
      </c>
      <c r="AA59" s="166" t="s">
        <v>147</v>
      </c>
      <c r="AB59" s="167"/>
      <c r="AC59" s="35">
        <f>SUM(AC35:AC58)</f>
        <v>12172.174999999996</v>
      </c>
      <c r="AF59" s="3"/>
      <c r="AG59" s="3"/>
      <c r="AH59" s="3"/>
      <c r="AK59" s="2"/>
      <c r="AL59" s="2"/>
      <c r="AM59" s="2"/>
      <c r="AN59" s="2"/>
      <c r="AO59" s="2"/>
      <c r="AP59" s="2"/>
    </row>
    <row r="60" spans="1:42" x14ac:dyDescent="0.35">
      <c r="A60" s="47" t="s">
        <v>13</v>
      </c>
      <c r="B60" s="160">
        <v>2</v>
      </c>
      <c r="C60" s="160"/>
      <c r="D60" s="160"/>
      <c r="E60" s="160"/>
      <c r="F60" s="160"/>
      <c r="G60" s="160"/>
      <c r="H60" s="160"/>
      <c r="I60" s="160"/>
      <c r="J60" s="160"/>
      <c r="K60" s="160"/>
      <c r="L60" s="160"/>
      <c r="M60" s="160"/>
      <c r="N60" s="160"/>
      <c r="O60" s="160"/>
      <c r="P60" s="160"/>
      <c r="Q60" s="11"/>
      <c r="R60" s="161" t="s">
        <v>148</v>
      </c>
      <c r="S60" s="162"/>
      <c r="T60" s="36">
        <f>+T59-T61</f>
        <v>0</v>
      </c>
      <c r="U60" s="161" t="s">
        <v>148</v>
      </c>
      <c r="V60" s="162"/>
      <c r="W60" s="36">
        <f>+W59-W61</f>
        <v>0</v>
      </c>
      <c r="X60" s="161" t="s">
        <v>148</v>
      </c>
      <c r="Y60" s="162"/>
      <c r="Z60" s="36">
        <f>+Z59-Z61</f>
        <v>11563.566249999996</v>
      </c>
      <c r="AA60" s="161" t="s">
        <v>148</v>
      </c>
      <c r="AB60" s="162"/>
      <c r="AC60" s="37">
        <f>+AC59-AC61</f>
        <v>11563.566249999996</v>
      </c>
      <c r="AD60" s="38"/>
      <c r="AE60" s="38"/>
      <c r="AF60" s="3"/>
      <c r="AG60" s="3"/>
      <c r="AH60" s="3"/>
      <c r="AK60" s="2"/>
      <c r="AL60" s="2"/>
      <c r="AM60" s="2"/>
      <c r="AN60" s="2"/>
      <c r="AO60" s="2"/>
      <c r="AP60" s="2"/>
    </row>
    <row r="61" spans="1:42" x14ac:dyDescent="0.35">
      <c r="A61" s="4"/>
      <c r="B61" s="160">
        <v>1</v>
      </c>
      <c r="C61" s="160"/>
      <c r="D61" s="160"/>
      <c r="E61" s="160"/>
      <c r="F61" s="160"/>
      <c r="G61" s="160"/>
      <c r="H61" s="160"/>
      <c r="I61" s="160"/>
      <c r="J61" s="160"/>
      <c r="K61" s="160"/>
      <c r="L61" s="160"/>
      <c r="M61" s="160"/>
      <c r="N61" s="160"/>
      <c r="O61" s="160"/>
      <c r="P61" s="160"/>
      <c r="Q61" s="11"/>
      <c r="R61" s="161" t="s">
        <v>149</v>
      </c>
      <c r="S61" s="162"/>
      <c r="T61" s="36">
        <f>IF(T59=0,0,(SUMIF(T35:T58,"&gt;0",AE35:AE58)/COUNTIF(T35:T58,"&gt;0"))/100*T59)</f>
        <v>0</v>
      </c>
      <c r="U61" s="161" t="s">
        <v>149</v>
      </c>
      <c r="V61" s="162"/>
      <c r="W61" s="36">
        <f>IF(W59=0,0,(SUMIF(W35:W58,"&gt;0",AF35:AF58)/COUNTIF(W35:W58,"&gt;0"))/100*W59)</f>
        <v>0</v>
      </c>
      <c r="X61" s="161" t="s">
        <v>149</v>
      </c>
      <c r="Y61" s="162"/>
      <c r="Z61" s="36">
        <f>IF(Z59=0,0,(SUMIF(Z35:Z58,"&gt;0",AG35:AG58)/COUNTIF(Z35:Z58,"&gt;0"))/100*Z59)</f>
        <v>608.60874999999976</v>
      </c>
      <c r="AA61" s="161" t="s">
        <v>149</v>
      </c>
      <c r="AB61" s="162"/>
      <c r="AC61" s="37">
        <f>IF(AC59=0,0,(SUMIF(AC35:AC58,"&gt;0",AH35:AH58)/COUNTIF(AC35:AC58,"&gt;0"))/100*AC59)</f>
        <v>608.60874999999976</v>
      </c>
      <c r="AD61" s="38"/>
      <c r="AE61" s="38"/>
      <c r="AF61" s="3"/>
      <c r="AG61" s="3"/>
      <c r="AH61" s="3"/>
      <c r="AK61" s="2"/>
      <c r="AL61" s="2"/>
      <c r="AM61" s="2"/>
      <c r="AN61" s="2"/>
      <c r="AO61" s="2"/>
      <c r="AP61" s="2"/>
    </row>
    <row r="62" spans="1:42" ht="15" thickBot="1" x14ac:dyDescent="0.4">
      <c r="A62" s="14"/>
      <c r="B62" s="163">
        <v>3</v>
      </c>
      <c r="C62" s="163"/>
      <c r="D62" s="163"/>
      <c r="E62" s="163"/>
      <c r="F62" s="163"/>
      <c r="G62" s="163"/>
      <c r="H62" s="163"/>
      <c r="I62" s="163"/>
      <c r="J62" s="163"/>
      <c r="K62" s="163"/>
      <c r="L62" s="163"/>
      <c r="M62" s="163"/>
      <c r="N62" s="163"/>
      <c r="O62" s="163"/>
      <c r="P62" s="163"/>
      <c r="Q62" s="48"/>
      <c r="R62" s="164" t="s">
        <v>78</v>
      </c>
      <c r="S62" s="165"/>
      <c r="T62" s="39">
        <f>IF(SUM(J35:J58)=0,0,T59/(SUM(J35:J58)))</f>
        <v>0</v>
      </c>
      <c r="U62" s="164" t="s">
        <v>78</v>
      </c>
      <c r="V62" s="165"/>
      <c r="W62" s="39">
        <f>IF(SUM(L35:L58)=0,0,W59/(SUM(L35:L58)))</f>
        <v>0</v>
      </c>
      <c r="X62" s="164" t="s">
        <v>78</v>
      </c>
      <c r="Y62" s="165"/>
      <c r="Z62" s="39">
        <f>IF(SUM(J35:J58)=0,0,Z59/(SUM(J35:J58)))</f>
        <v>0.34972590066341225</v>
      </c>
      <c r="AA62" s="164" t="s">
        <v>78</v>
      </c>
      <c r="AB62" s="165"/>
      <c r="AC62" s="40">
        <f>IF(SUM(L35:L58)=0,0,AC59/(SUM(L35:L58)))</f>
        <v>0.34972590066341225</v>
      </c>
      <c r="AD62" s="38"/>
      <c r="AE62" s="38"/>
      <c r="AF62" s="3"/>
      <c r="AG62" s="3"/>
      <c r="AH62" s="3"/>
      <c r="AK62" s="2"/>
      <c r="AL62" s="2"/>
      <c r="AM62" s="2"/>
      <c r="AN62" s="2"/>
      <c r="AO62" s="2"/>
      <c r="AP62" s="2"/>
    </row>
    <row r="63" spans="1:42" x14ac:dyDescent="0.35">
      <c r="W63" s="11"/>
      <c r="X63" s="11"/>
      <c r="Y63" s="11"/>
      <c r="Z63" s="11"/>
      <c r="AA63" s="11"/>
      <c r="AP63" s="2"/>
    </row>
  </sheetData>
  <sheetProtection password="E385" sheet="1" objects="1" scenarios="1" selectLockedCells="1"/>
  <dataConsolidate/>
  <mergeCells count="92">
    <mergeCell ref="A1:G1"/>
    <mergeCell ref="I1:P1"/>
    <mergeCell ref="B2:G2"/>
    <mergeCell ref="I2:N2"/>
    <mergeCell ref="B3:G3"/>
    <mergeCell ref="I3:N3"/>
    <mergeCell ref="A4:A5"/>
    <mergeCell ref="B4:G5"/>
    <mergeCell ref="I4:N4"/>
    <mergeCell ref="I5:N5"/>
    <mergeCell ref="B6:G6"/>
    <mergeCell ref="I6:N6"/>
    <mergeCell ref="A7:A11"/>
    <mergeCell ref="B7:G11"/>
    <mergeCell ref="I7:N7"/>
    <mergeCell ref="I8:N8"/>
    <mergeCell ref="I9:N9"/>
    <mergeCell ref="I10:N10"/>
    <mergeCell ref="I11:N11"/>
    <mergeCell ref="I12:N12"/>
    <mergeCell ref="A13:G13"/>
    <mergeCell ref="I13:N13"/>
    <mergeCell ref="A14:E14"/>
    <mergeCell ref="F14:G14"/>
    <mergeCell ref="I14:N14"/>
    <mergeCell ref="A21:D21"/>
    <mergeCell ref="E21:G21"/>
    <mergeCell ref="I21:P21"/>
    <mergeCell ref="A15:G15"/>
    <mergeCell ref="A16:G16"/>
    <mergeCell ref="I16:P16"/>
    <mergeCell ref="A17:G17"/>
    <mergeCell ref="I17:P17"/>
    <mergeCell ref="A18:E18"/>
    <mergeCell ref="F18:G18"/>
    <mergeCell ref="I18:P18"/>
    <mergeCell ref="A19:G19"/>
    <mergeCell ref="I19:N19"/>
    <mergeCell ref="A20:D20"/>
    <mergeCell ref="E20:G20"/>
    <mergeCell ref="I20:P20"/>
    <mergeCell ref="A22:G22"/>
    <mergeCell ref="I22:P22"/>
    <mergeCell ref="A23:E23"/>
    <mergeCell ref="F23:G23"/>
    <mergeCell ref="A24:G24"/>
    <mergeCell ref="I24:P24"/>
    <mergeCell ref="A25:E25"/>
    <mergeCell ref="F25:G25"/>
    <mergeCell ref="I25:N25"/>
    <mergeCell ref="A26:G27"/>
    <mergeCell ref="I26:P26"/>
    <mergeCell ref="J27:K27"/>
    <mergeCell ref="L27:N27"/>
    <mergeCell ref="O27:P27"/>
    <mergeCell ref="A29:AC29"/>
    <mergeCell ref="B30:L30"/>
    <mergeCell ref="M30:Q30"/>
    <mergeCell ref="R30:AC30"/>
    <mergeCell ref="C31:E31"/>
    <mergeCell ref="G31:H31"/>
    <mergeCell ref="K31:L31"/>
    <mergeCell ref="R31:T31"/>
    <mergeCell ref="U31:W31"/>
    <mergeCell ref="X31:Z31"/>
    <mergeCell ref="AA31:AC31"/>
    <mergeCell ref="AE31:AH31"/>
    <mergeCell ref="D32:E32"/>
    <mergeCell ref="G32:H32"/>
    <mergeCell ref="AE32:AE33"/>
    <mergeCell ref="AF32:AF33"/>
    <mergeCell ref="AG32:AG33"/>
    <mergeCell ref="AH32:AH33"/>
    <mergeCell ref="R59:S59"/>
    <mergeCell ref="U59:V59"/>
    <mergeCell ref="X59:Y59"/>
    <mergeCell ref="AA59:AB59"/>
    <mergeCell ref="B60:P60"/>
    <mergeCell ref="R60:S60"/>
    <mergeCell ref="U60:V60"/>
    <mergeCell ref="X60:Y60"/>
    <mergeCell ref="AA60:AB60"/>
    <mergeCell ref="B62:P62"/>
    <mergeCell ref="R62:S62"/>
    <mergeCell ref="U62:V62"/>
    <mergeCell ref="X62:Y62"/>
    <mergeCell ref="AA62:AB62"/>
    <mergeCell ref="B61:P61"/>
    <mergeCell ref="R61:S61"/>
    <mergeCell ref="U61:V61"/>
    <mergeCell ref="X61:Y61"/>
    <mergeCell ref="AA61:AB61"/>
  </mergeCells>
  <conditionalFormatting sqref="AB35:AB58">
    <cfRule type="cellIs" dxfId="8" priority="5" operator="greaterThan">
      <formula>0.75</formula>
    </cfRule>
    <cfRule type="cellIs" dxfId="7" priority="6" operator="lessThanOrEqual">
      <formula>0.75</formula>
    </cfRule>
  </conditionalFormatting>
  <conditionalFormatting sqref="Y35:Y58">
    <cfRule type="cellIs" dxfId="6" priority="3" operator="greaterThan">
      <formula>0.75</formula>
    </cfRule>
    <cfRule type="cellIs" dxfId="5" priority="4" operator="lessThanOrEqual">
      <formula>0.75</formula>
    </cfRule>
  </conditionalFormatting>
  <conditionalFormatting sqref="F18:G18">
    <cfRule type="expression" dxfId="4" priority="2">
      <formula>$F$14="AADT"</formula>
    </cfRule>
  </conditionalFormatting>
  <conditionalFormatting sqref="E20:G21">
    <cfRule type="expression" dxfId="3" priority="1">
      <formula>$F$14="AADT"</formula>
    </cfRule>
  </conditionalFormatting>
  <dataValidations count="18">
    <dataValidation type="whole" operator="greaterThanOrEqual" allowBlank="1" showInputMessage="1" showErrorMessage="1" promptTitle="Diversion threshold" prompt="ODOT uses a default diversion threshold value of 1000 pcph." sqref="F25:G25" xr:uid="{A09AB202-EF5B-43FB-8BAF-0B372BB46802}">
      <formula1>0</formula1>
    </dataValidation>
    <dataValidation type="whole" operator="greaterThanOrEqual" allowBlank="1" showInputMessage="1" showErrorMessage="1" promptTitle="Average minimum headway" prompt="The default value for the average minimum headway of passenger cars in queue is 20 ft." sqref="O25" xr:uid="{A09D0028-6983-4618-87D7-F1CD7D3DAAF7}">
      <formula1>0</formula1>
    </dataValidation>
    <dataValidation type="decimal" allowBlank="1" showErrorMessage="1" errorTitle="total proportion" error="Together the base and difference must be at least 0 and cannot exceed 100." sqref="G35:G58" xr:uid="{0F23ECFD-5954-4BCA-B33B-07108AF722CC}">
      <formula1>-$F$23</formula1>
      <formula2>100-$F$23</formula2>
    </dataValidation>
    <dataValidation type="decimal" allowBlank="1" showInputMessage="1" showErrorMessage="1" sqref="F23:G23" xr:uid="{CC3D883D-5516-4A6C-AB9D-743BE2ABEC61}">
      <formula1>0</formula1>
      <formula2>100</formula2>
    </dataValidation>
    <dataValidation type="whole" allowBlank="1" showInputMessage="1" showErrorMessage="1" promptTitle="Calibration" prompt="Ohio work zones observed during 2013 - 2014 had an average capacity of 1200 pcphpl. Therefore the default calibration value for Ohio is -400 pcphpl." sqref="O19" xr:uid="{82B17973-3491-4CE2-A212-88ACC0396601}">
      <formula1>-400</formula1>
      <formula2>0</formula2>
    </dataValidation>
    <dataValidation type="whole" operator="lessThanOrEqual" allowBlank="1" showInputMessage="1" showErrorMessage="1" sqref="M35:M58" xr:uid="{2C0B8A58-DE36-4DFC-8233-6B9EAE8D41C9}">
      <formula1>$O$2</formula1>
    </dataValidation>
    <dataValidation type="decimal" operator="greaterThanOrEqual" allowBlank="1" showInputMessage="1" showErrorMessage="1" sqref="H23" xr:uid="{9BE44B0D-3620-4F51-A54F-4F8AF7078F5C}">
      <formula1>0</formula1>
    </dataValidation>
    <dataValidation type="whole" operator="greaterThanOrEqual" allowBlank="1" showInputMessage="1" showErrorMessage="1" sqref="P35:P58 F18:G18 H25" xr:uid="{2216CFCD-C433-40ED-BC87-F69606EC6E0D}">
      <formula1>0</formula1>
    </dataValidation>
    <dataValidation type="whole" allowBlank="1" showErrorMessage="1" errorTitle="Ramps" error="Must be between 0 and 6." sqref="O11" xr:uid="{33756BE8-6841-4324-8A39-416144B70B84}">
      <formula1>0</formula1>
      <formula2>6</formula2>
    </dataValidation>
    <dataValidation type="whole" allowBlank="1" showErrorMessage="1" errorTitle="Lateral clearance" error="Must be a whole number between zero and 6 ft." sqref="O9" xr:uid="{DE74C182-EBF6-4C49-8C9E-5242B72F2052}">
      <formula1>0</formula1>
      <formula2>6</formula2>
    </dataValidation>
    <dataValidation type="decimal" operator="greaterThanOrEqual" allowBlank="1" showErrorMessage="1" errorTitle="Lane width" error="Must be at least 10 ft." sqref="O7" xr:uid="{AEA5BF5A-298A-4F81-B2E9-65A7E7ABD415}">
      <formula1>10</formula1>
    </dataValidation>
    <dataValidation type="whole" operator="greaterThan" allowBlank="1" showInputMessage="1" showErrorMessage="1" error="Must be a positive, whole number." sqref="O2" xr:uid="{75010C45-9531-4AF1-BD47-02313FDC8EDD}">
      <formula1>0</formula1>
    </dataValidation>
    <dataValidation type="list" allowBlank="1" showInputMessage="1" showErrorMessage="1" sqref="O3" xr:uid="{4A895CCB-FEAC-4FCB-9B7C-0117C868A1F3}">
      <formula1>Terrain</formula1>
    </dataValidation>
    <dataValidation type="list" showInputMessage="1" showErrorMessage="1" sqref="F14" xr:uid="{3AEA5C44-264D-40F0-ADD3-8FA2C42DC3C3}">
      <formula1>Volume</formula1>
    </dataValidation>
    <dataValidation type="list" showErrorMessage="1" promptTitle="Roadway" sqref="E20" xr:uid="{73E392D2-963D-40CA-993D-A91C58F361CF}">
      <formula1>Roadway</formula1>
    </dataValidation>
    <dataValidation type="whole" allowBlank="1" showErrorMessage="1" errorTitle="Diversion" error="Must be between 0 and 100." sqref="K35:K58" xr:uid="{E77377AF-7148-4565-A2E1-7AA5F5C55F9B}">
      <formula1>0</formula1>
      <formula2>100</formula2>
    </dataValidation>
    <dataValidation type="whole" operator="greaterThanOrEqual" allowBlank="1" showErrorMessage="1" errorTitle="Estimated or actual volumes" error="Must be a positive value." sqref="B35:B58" xr:uid="{12D57031-1772-4455-BFB8-0F20A2631A4C}">
      <formula1>0</formula1>
    </dataValidation>
    <dataValidation type="list" showInputMessage="1" showErrorMessage="1" sqref="E21" xr:uid="{3CE5BB4C-CF87-4308-8A61-FE267410846E}">
      <formula1>Direction</formula1>
    </dataValidation>
  </dataValidations>
  <printOptions horizontalCentered="1"/>
  <pageMargins left="0.25" right="0.25" top="1.45" bottom="0.55000000000000004" header="1" footer="0.3"/>
  <pageSetup scale="50" orientation="landscape" r:id="rId1"/>
  <headerFooter>
    <oddHeader xml:space="preserve">&amp;L&amp;"-,Bold"&amp;16 &amp;G&amp;C&amp;"Arial Rounded MT Bold,Regular"&amp;20&amp;K03-024TDOT Lane Closure Queue Analysis Too&amp;"-,Regular"&amp;11&amp;K01+000l&amp;R&amp;14&amp;K000000
</oddHeader>
    <oddFooter xml:space="preserve">&amp;L&amp;9Version 1.1, 3/4/2016
&amp;R&amp;"-,Italic"&amp;9Originally developed by Cleveland State University as part of ODOT research (SJN 134719). ODOT has and will continue to make updates as necessary. 
 </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
  <sheetViews>
    <sheetView zoomScale="75" zoomScaleNormal="75" workbookViewId="0">
      <selection activeCell="B2" sqref="B2:D2"/>
    </sheetView>
  </sheetViews>
  <sheetFormatPr defaultColWidth="15" defaultRowHeight="14.5" x14ac:dyDescent="0.35"/>
  <cols>
    <col min="1" max="1" width="12.1796875" style="2" bestFit="1" customWidth="1"/>
    <col min="2" max="10" width="13.81640625" style="2" customWidth="1"/>
    <col min="11" max="16384" width="15" style="2"/>
  </cols>
  <sheetData>
    <row r="1" spans="1:10" x14ac:dyDescent="0.35">
      <c r="A1" s="94"/>
      <c r="B1" s="231" t="s">
        <v>70</v>
      </c>
      <c r="C1" s="232"/>
      <c r="D1" s="233"/>
      <c r="E1" s="231" t="s">
        <v>167</v>
      </c>
      <c r="F1" s="232"/>
      <c r="G1" s="232"/>
      <c r="H1" s="232"/>
      <c r="I1" s="232"/>
      <c r="J1" s="232"/>
    </row>
    <row r="2" spans="1:10" x14ac:dyDescent="0.35">
      <c r="A2" s="95"/>
      <c r="B2" s="234" t="s">
        <v>177</v>
      </c>
      <c r="C2" s="235"/>
      <c r="D2" s="236"/>
      <c r="E2" s="231" t="s">
        <v>71</v>
      </c>
      <c r="F2" s="232"/>
      <c r="G2" s="233"/>
      <c r="H2" s="231" t="s">
        <v>72</v>
      </c>
      <c r="I2" s="232"/>
      <c r="J2" s="233"/>
    </row>
    <row r="3" spans="1:10" ht="15" customHeight="1" x14ac:dyDescent="0.35">
      <c r="A3" s="96" t="s">
        <v>2</v>
      </c>
      <c r="B3" s="229" t="s">
        <v>55</v>
      </c>
      <c r="C3" s="72" t="s">
        <v>56</v>
      </c>
      <c r="D3" s="73"/>
      <c r="E3" s="229" t="s">
        <v>55</v>
      </c>
      <c r="F3" s="72" t="s">
        <v>56</v>
      </c>
      <c r="G3" s="73"/>
      <c r="H3" s="229" t="s">
        <v>55</v>
      </c>
      <c r="I3" s="72" t="s">
        <v>56</v>
      </c>
      <c r="J3" s="73"/>
    </row>
    <row r="4" spans="1:10" x14ac:dyDescent="0.35">
      <c r="A4" s="95" t="s">
        <v>49</v>
      </c>
      <c r="B4" s="230"/>
      <c r="C4" s="74" t="s">
        <v>67</v>
      </c>
      <c r="D4" s="75" t="s">
        <v>68</v>
      </c>
      <c r="E4" s="230"/>
      <c r="F4" s="74" t="s">
        <v>67</v>
      </c>
      <c r="G4" s="75" t="s">
        <v>68</v>
      </c>
      <c r="H4" s="230"/>
      <c r="I4" s="74" t="s">
        <v>67</v>
      </c>
      <c r="J4" s="75" t="s">
        <v>68</v>
      </c>
    </row>
    <row r="5" spans="1:10" s="3" customFormat="1" x14ac:dyDescent="0.35">
      <c r="A5" s="16"/>
      <c r="B5" s="76" t="s">
        <v>65</v>
      </c>
      <c r="C5" s="77" t="s">
        <v>65</v>
      </c>
      <c r="D5" s="78" t="s">
        <v>65</v>
      </c>
      <c r="E5" s="79" t="s">
        <v>65</v>
      </c>
      <c r="F5" s="77" t="s">
        <v>65</v>
      </c>
      <c r="G5" s="78" t="s">
        <v>65</v>
      </c>
      <c r="H5" s="80" t="s">
        <v>65</v>
      </c>
      <c r="I5" s="77" t="s">
        <v>65</v>
      </c>
      <c r="J5" s="78" t="s">
        <v>65</v>
      </c>
    </row>
    <row r="6" spans="1:10" x14ac:dyDescent="0.35">
      <c r="A6" s="97" t="s">
        <v>14</v>
      </c>
      <c r="B6" s="84"/>
      <c r="C6" s="85"/>
      <c r="D6" s="81" t="str">
        <f>IF(C6="","",100-C6)</f>
        <v/>
      </c>
      <c r="E6" s="117">
        <v>0.9</v>
      </c>
      <c r="F6" s="112">
        <v>50</v>
      </c>
      <c r="G6" s="81">
        <f>IF(F6="","",100-F6)</f>
        <v>50</v>
      </c>
      <c r="H6" s="111">
        <v>1.2</v>
      </c>
      <c r="I6" s="112">
        <v>50</v>
      </c>
      <c r="J6" s="91">
        <f>IF(I6="","",100-I6)</f>
        <v>50</v>
      </c>
    </row>
    <row r="7" spans="1:10" x14ac:dyDescent="0.35">
      <c r="A7" s="98" t="s">
        <v>15</v>
      </c>
      <c r="B7" s="86"/>
      <c r="C7" s="87"/>
      <c r="D7" s="82" t="str">
        <f t="shared" ref="D7:D29" si="0">IF(C7="","",100-C7)</f>
        <v/>
      </c>
      <c r="E7" s="118">
        <v>0.6</v>
      </c>
      <c r="F7" s="114">
        <v>50</v>
      </c>
      <c r="G7" s="82">
        <f t="shared" ref="G7:G29" si="1">IF(F7="","",100-F7)</f>
        <v>50</v>
      </c>
      <c r="H7" s="113">
        <v>0.8</v>
      </c>
      <c r="I7" s="114">
        <v>50</v>
      </c>
      <c r="J7" s="92">
        <f t="shared" ref="J7:J29" si="2">IF(I7="","",100-I7)</f>
        <v>50</v>
      </c>
    </row>
    <row r="8" spans="1:10" x14ac:dyDescent="0.35">
      <c r="A8" s="98" t="s">
        <v>16</v>
      </c>
      <c r="B8" s="86"/>
      <c r="C8" s="87"/>
      <c r="D8" s="82" t="str">
        <f t="shared" si="0"/>
        <v/>
      </c>
      <c r="E8" s="118">
        <v>0.4</v>
      </c>
      <c r="F8" s="114">
        <v>50</v>
      </c>
      <c r="G8" s="82">
        <f t="shared" si="1"/>
        <v>50</v>
      </c>
      <c r="H8" s="113">
        <v>0.7</v>
      </c>
      <c r="I8" s="114">
        <v>50</v>
      </c>
      <c r="J8" s="92">
        <f t="shared" si="2"/>
        <v>50</v>
      </c>
    </row>
    <row r="9" spans="1:10" x14ac:dyDescent="0.35">
      <c r="A9" s="98" t="s">
        <v>17</v>
      </c>
      <c r="B9" s="86"/>
      <c r="C9" s="87"/>
      <c r="D9" s="82" t="str">
        <f t="shared" si="0"/>
        <v/>
      </c>
      <c r="E9" s="118">
        <v>0.5</v>
      </c>
      <c r="F9" s="114">
        <v>50</v>
      </c>
      <c r="G9" s="82">
        <f t="shared" si="1"/>
        <v>50</v>
      </c>
      <c r="H9" s="113">
        <v>0.9</v>
      </c>
      <c r="I9" s="114">
        <v>50</v>
      </c>
      <c r="J9" s="92">
        <f t="shared" si="2"/>
        <v>50</v>
      </c>
    </row>
    <row r="10" spans="1:10" x14ac:dyDescent="0.35">
      <c r="A10" s="98" t="s">
        <v>18</v>
      </c>
      <c r="B10" s="86"/>
      <c r="C10" s="87"/>
      <c r="D10" s="82" t="str">
        <f t="shared" si="0"/>
        <v/>
      </c>
      <c r="E10" s="118">
        <v>0.9</v>
      </c>
      <c r="F10" s="114">
        <v>50</v>
      </c>
      <c r="G10" s="82">
        <f t="shared" si="1"/>
        <v>50</v>
      </c>
      <c r="H10" s="113">
        <v>1.3</v>
      </c>
      <c r="I10" s="114">
        <v>50</v>
      </c>
      <c r="J10" s="92">
        <f t="shared" si="2"/>
        <v>50</v>
      </c>
    </row>
    <row r="11" spans="1:10" x14ac:dyDescent="0.35">
      <c r="A11" s="98" t="s">
        <v>19</v>
      </c>
      <c r="B11" s="86"/>
      <c r="C11" s="87"/>
      <c r="D11" s="82" t="str">
        <f t="shared" si="0"/>
        <v/>
      </c>
      <c r="E11" s="118">
        <v>2.4</v>
      </c>
      <c r="F11" s="114">
        <v>50</v>
      </c>
      <c r="G11" s="82">
        <f t="shared" si="1"/>
        <v>50</v>
      </c>
      <c r="H11" s="113">
        <v>2.8</v>
      </c>
      <c r="I11" s="114">
        <v>50</v>
      </c>
      <c r="J11" s="92">
        <f t="shared" si="2"/>
        <v>50</v>
      </c>
    </row>
    <row r="12" spans="1:10" x14ac:dyDescent="0.35">
      <c r="A12" s="98" t="s">
        <v>20</v>
      </c>
      <c r="B12" s="86"/>
      <c r="C12" s="87"/>
      <c r="D12" s="82" t="str">
        <f t="shared" si="0"/>
        <v/>
      </c>
      <c r="E12" s="118">
        <v>5</v>
      </c>
      <c r="F12" s="114">
        <v>50</v>
      </c>
      <c r="G12" s="82">
        <f t="shared" si="1"/>
        <v>50</v>
      </c>
      <c r="H12" s="113">
        <v>5.3</v>
      </c>
      <c r="I12" s="114">
        <v>50</v>
      </c>
      <c r="J12" s="92">
        <f t="shared" si="2"/>
        <v>50</v>
      </c>
    </row>
    <row r="13" spans="1:10" x14ac:dyDescent="0.35">
      <c r="A13" s="98" t="s">
        <v>21</v>
      </c>
      <c r="B13" s="86"/>
      <c r="C13" s="87"/>
      <c r="D13" s="82" t="str">
        <f t="shared" si="0"/>
        <v/>
      </c>
      <c r="E13" s="118">
        <v>7.3</v>
      </c>
      <c r="F13" s="114">
        <v>50</v>
      </c>
      <c r="G13" s="82">
        <f t="shared" si="1"/>
        <v>50</v>
      </c>
      <c r="H13" s="113">
        <v>6.6</v>
      </c>
      <c r="I13" s="114">
        <v>50</v>
      </c>
      <c r="J13" s="92">
        <f t="shared" si="2"/>
        <v>50</v>
      </c>
    </row>
    <row r="14" spans="1:10" x14ac:dyDescent="0.35">
      <c r="A14" s="98" t="s">
        <v>22</v>
      </c>
      <c r="B14" s="86"/>
      <c r="C14" s="87"/>
      <c r="D14" s="82" t="str">
        <f t="shared" si="0"/>
        <v/>
      </c>
      <c r="E14" s="118">
        <v>6.3</v>
      </c>
      <c r="F14" s="114">
        <v>50</v>
      </c>
      <c r="G14" s="82">
        <f t="shared" si="1"/>
        <v>50</v>
      </c>
      <c r="H14" s="113">
        <v>5.8</v>
      </c>
      <c r="I14" s="114">
        <v>50</v>
      </c>
      <c r="J14" s="92">
        <f t="shared" si="2"/>
        <v>50</v>
      </c>
    </row>
    <row r="15" spans="1:10" x14ac:dyDescent="0.35">
      <c r="A15" s="98" t="s">
        <v>23</v>
      </c>
      <c r="B15" s="86"/>
      <c r="C15" s="87"/>
      <c r="D15" s="82" t="str">
        <f t="shared" si="0"/>
        <v/>
      </c>
      <c r="E15" s="118">
        <v>5.0999999999999996</v>
      </c>
      <c r="F15" s="114">
        <v>50</v>
      </c>
      <c r="G15" s="82">
        <f t="shared" si="1"/>
        <v>50</v>
      </c>
      <c r="H15" s="113">
        <v>5.2</v>
      </c>
      <c r="I15" s="114">
        <v>50</v>
      </c>
      <c r="J15" s="92">
        <f t="shared" si="2"/>
        <v>50</v>
      </c>
    </row>
    <row r="16" spans="1:10" x14ac:dyDescent="0.35">
      <c r="A16" s="98" t="s">
        <v>24</v>
      </c>
      <c r="B16" s="86"/>
      <c r="C16" s="87"/>
      <c r="D16" s="82" t="str">
        <f t="shared" si="0"/>
        <v/>
      </c>
      <c r="E16" s="118">
        <v>4.9000000000000004</v>
      </c>
      <c r="F16" s="114">
        <v>50</v>
      </c>
      <c r="G16" s="82">
        <f t="shared" si="1"/>
        <v>50</v>
      </c>
      <c r="H16" s="113">
        <v>5</v>
      </c>
      <c r="I16" s="114">
        <v>50</v>
      </c>
      <c r="J16" s="92">
        <f t="shared" si="2"/>
        <v>50</v>
      </c>
    </row>
    <row r="17" spans="1:10" x14ac:dyDescent="0.35">
      <c r="A17" s="98" t="s">
        <v>25</v>
      </c>
      <c r="B17" s="88"/>
      <c r="C17" s="87"/>
      <c r="D17" s="82" t="str">
        <f t="shared" si="0"/>
        <v/>
      </c>
      <c r="E17" s="118">
        <v>5.2</v>
      </c>
      <c r="F17" s="114">
        <v>50</v>
      </c>
      <c r="G17" s="82">
        <f t="shared" si="1"/>
        <v>50</v>
      </c>
      <c r="H17" s="113">
        <v>5.0999999999999996</v>
      </c>
      <c r="I17" s="114">
        <v>50</v>
      </c>
      <c r="J17" s="92">
        <f t="shared" si="2"/>
        <v>50</v>
      </c>
    </row>
    <row r="18" spans="1:10" x14ac:dyDescent="0.35">
      <c r="A18" s="98" t="s">
        <v>26</v>
      </c>
      <c r="B18" s="86"/>
      <c r="C18" s="87"/>
      <c r="D18" s="82" t="str">
        <f t="shared" si="0"/>
        <v/>
      </c>
      <c r="E18" s="118">
        <v>5.5</v>
      </c>
      <c r="F18" s="114">
        <v>50</v>
      </c>
      <c r="G18" s="82">
        <f t="shared" si="1"/>
        <v>50</v>
      </c>
      <c r="H18" s="113">
        <v>5.4</v>
      </c>
      <c r="I18" s="114">
        <v>50</v>
      </c>
      <c r="J18" s="92">
        <f t="shared" si="2"/>
        <v>50</v>
      </c>
    </row>
    <row r="19" spans="1:10" x14ac:dyDescent="0.35">
      <c r="A19" s="98" t="s">
        <v>27</v>
      </c>
      <c r="B19" s="86"/>
      <c r="C19" s="87"/>
      <c r="D19" s="82" t="str">
        <f t="shared" si="0"/>
        <v/>
      </c>
      <c r="E19" s="118">
        <v>5.6</v>
      </c>
      <c r="F19" s="114">
        <v>50</v>
      </c>
      <c r="G19" s="82">
        <f t="shared" si="1"/>
        <v>50</v>
      </c>
      <c r="H19" s="113">
        <v>5.5</v>
      </c>
      <c r="I19" s="114">
        <v>50</v>
      </c>
      <c r="J19" s="92">
        <f t="shared" si="2"/>
        <v>50</v>
      </c>
    </row>
    <row r="20" spans="1:10" x14ac:dyDescent="0.35">
      <c r="A20" s="98" t="s">
        <v>28</v>
      </c>
      <c r="B20" s="86"/>
      <c r="C20" s="87"/>
      <c r="D20" s="82" t="str">
        <f t="shared" si="0"/>
        <v/>
      </c>
      <c r="E20" s="118">
        <v>6.3</v>
      </c>
      <c r="F20" s="114">
        <v>50</v>
      </c>
      <c r="G20" s="82">
        <f t="shared" si="1"/>
        <v>50</v>
      </c>
      <c r="H20" s="113">
        <v>6.1</v>
      </c>
      <c r="I20" s="114">
        <v>50</v>
      </c>
      <c r="J20" s="92">
        <f t="shared" si="2"/>
        <v>50</v>
      </c>
    </row>
    <row r="21" spans="1:10" x14ac:dyDescent="0.35">
      <c r="A21" s="98" t="s">
        <v>29</v>
      </c>
      <c r="B21" s="86"/>
      <c r="C21" s="87"/>
      <c r="D21" s="82" t="str">
        <f t="shared" si="0"/>
        <v/>
      </c>
      <c r="E21" s="118">
        <v>7.3</v>
      </c>
      <c r="F21" s="114">
        <v>50</v>
      </c>
      <c r="G21" s="82">
        <f t="shared" si="1"/>
        <v>50</v>
      </c>
      <c r="H21" s="113">
        <v>7</v>
      </c>
      <c r="I21" s="114">
        <v>50</v>
      </c>
      <c r="J21" s="92">
        <f t="shared" si="2"/>
        <v>50</v>
      </c>
    </row>
    <row r="22" spans="1:10" x14ac:dyDescent="0.35">
      <c r="A22" s="98" t="s">
        <v>30</v>
      </c>
      <c r="B22" s="86"/>
      <c r="C22" s="87"/>
      <c r="D22" s="82" t="str">
        <f t="shared" si="0"/>
        <v/>
      </c>
      <c r="E22" s="118">
        <v>7.8</v>
      </c>
      <c r="F22" s="114">
        <v>50</v>
      </c>
      <c r="G22" s="82">
        <f t="shared" si="1"/>
        <v>50</v>
      </c>
      <c r="H22" s="113">
        <v>7.8</v>
      </c>
      <c r="I22" s="114">
        <v>50</v>
      </c>
      <c r="J22" s="92">
        <f t="shared" si="2"/>
        <v>50</v>
      </c>
    </row>
    <row r="23" spans="1:10" x14ac:dyDescent="0.35">
      <c r="A23" s="98" t="s">
        <v>31</v>
      </c>
      <c r="B23" s="86"/>
      <c r="C23" s="87"/>
      <c r="D23" s="82" t="str">
        <f t="shared" si="0"/>
        <v/>
      </c>
      <c r="E23" s="118">
        <v>7.8</v>
      </c>
      <c r="F23" s="114">
        <v>50</v>
      </c>
      <c r="G23" s="82">
        <f t="shared" si="1"/>
        <v>50</v>
      </c>
      <c r="H23" s="113">
        <v>7.7</v>
      </c>
      <c r="I23" s="114">
        <v>50</v>
      </c>
      <c r="J23" s="92">
        <f t="shared" si="2"/>
        <v>50</v>
      </c>
    </row>
    <row r="24" spans="1:10" x14ac:dyDescent="0.35">
      <c r="A24" s="98" t="s">
        <v>32</v>
      </c>
      <c r="B24" s="86"/>
      <c r="C24" s="87"/>
      <c r="D24" s="82" t="str">
        <f t="shared" si="0"/>
        <v/>
      </c>
      <c r="E24" s="118">
        <v>5.8</v>
      </c>
      <c r="F24" s="114">
        <v>50</v>
      </c>
      <c r="G24" s="82">
        <f t="shared" si="1"/>
        <v>50</v>
      </c>
      <c r="H24" s="113">
        <v>5.6</v>
      </c>
      <c r="I24" s="114">
        <v>50</v>
      </c>
      <c r="J24" s="92">
        <f t="shared" si="2"/>
        <v>50</v>
      </c>
    </row>
    <row r="25" spans="1:10" x14ac:dyDescent="0.35">
      <c r="A25" s="98" t="s">
        <v>33</v>
      </c>
      <c r="B25" s="86"/>
      <c r="C25" s="87"/>
      <c r="D25" s="82" t="str">
        <f t="shared" si="0"/>
        <v/>
      </c>
      <c r="E25" s="118">
        <v>4.2</v>
      </c>
      <c r="F25" s="114">
        <v>50</v>
      </c>
      <c r="G25" s="82">
        <f t="shared" si="1"/>
        <v>50</v>
      </c>
      <c r="H25" s="113">
        <v>4</v>
      </c>
      <c r="I25" s="114">
        <v>50</v>
      </c>
      <c r="J25" s="92">
        <f t="shared" si="2"/>
        <v>50</v>
      </c>
    </row>
    <row r="26" spans="1:10" x14ac:dyDescent="0.35">
      <c r="A26" s="98" t="s">
        <v>34</v>
      </c>
      <c r="B26" s="86"/>
      <c r="C26" s="87"/>
      <c r="D26" s="82" t="str">
        <f t="shared" si="0"/>
        <v/>
      </c>
      <c r="E26" s="118">
        <v>3.5</v>
      </c>
      <c r="F26" s="114">
        <v>50</v>
      </c>
      <c r="G26" s="82">
        <f t="shared" si="1"/>
        <v>50</v>
      </c>
      <c r="H26" s="113">
        <v>3.4</v>
      </c>
      <c r="I26" s="114">
        <v>50</v>
      </c>
      <c r="J26" s="92">
        <f t="shared" si="2"/>
        <v>50</v>
      </c>
    </row>
    <row r="27" spans="1:10" x14ac:dyDescent="0.35">
      <c r="A27" s="98" t="s">
        <v>35</v>
      </c>
      <c r="B27" s="86"/>
      <c r="C27" s="87"/>
      <c r="D27" s="82" t="str">
        <f t="shared" si="0"/>
        <v/>
      </c>
      <c r="E27" s="118">
        <v>2.9</v>
      </c>
      <c r="F27" s="114">
        <v>50</v>
      </c>
      <c r="G27" s="82">
        <f t="shared" si="1"/>
        <v>50</v>
      </c>
      <c r="H27" s="113">
        <v>2.9</v>
      </c>
      <c r="I27" s="114">
        <v>50</v>
      </c>
      <c r="J27" s="92">
        <f t="shared" si="2"/>
        <v>50</v>
      </c>
    </row>
    <row r="28" spans="1:10" x14ac:dyDescent="0.35">
      <c r="A28" s="98" t="s">
        <v>36</v>
      </c>
      <c r="B28" s="86"/>
      <c r="C28" s="87"/>
      <c r="D28" s="82" t="str">
        <f t="shared" si="0"/>
        <v/>
      </c>
      <c r="E28" s="118">
        <v>2.2000000000000002</v>
      </c>
      <c r="F28" s="114">
        <v>50</v>
      </c>
      <c r="G28" s="82">
        <f t="shared" si="1"/>
        <v>50</v>
      </c>
      <c r="H28" s="113">
        <v>2.2000000000000002</v>
      </c>
      <c r="I28" s="114">
        <v>50</v>
      </c>
      <c r="J28" s="92">
        <f t="shared" si="2"/>
        <v>50</v>
      </c>
    </row>
    <row r="29" spans="1:10" x14ac:dyDescent="0.35">
      <c r="A29" s="99" t="s">
        <v>37</v>
      </c>
      <c r="B29" s="89"/>
      <c r="C29" s="90"/>
      <c r="D29" s="83" t="str">
        <f t="shared" si="0"/>
        <v/>
      </c>
      <c r="E29" s="119">
        <v>1.6</v>
      </c>
      <c r="F29" s="116">
        <v>50</v>
      </c>
      <c r="G29" s="83">
        <f t="shared" si="1"/>
        <v>50</v>
      </c>
      <c r="H29" s="115">
        <v>1.7</v>
      </c>
      <c r="I29" s="116">
        <v>50</v>
      </c>
      <c r="J29" s="93">
        <f t="shared" si="2"/>
        <v>50</v>
      </c>
    </row>
    <row r="30" spans="1:10" x14ac:dyDescent="0.35">
      <c r="A30" s="16" t="s">
        <v>41</v>
      </c>
      <c r="B30" s="3">
        <f>SUM(B6:B29)</f>
        <v>0</v>
      </c>
      <c r="E30" s="3">
        <f>SUM(E6:E29)</f>
        <v>100</v>
      </c>
      <c r="H30" s="3">
        <f>SUM(H6:H29)</f>
        <v>100.00000000000001</v>
      </c>
    </row>
    <row r="31" spans="1:10" x14ac:dyDescent="0.35">
      <c r="B31" s="2" t="str">
        <f>IF(B30=100,"","ERROR, check percentages")</f>
        <v>ERROR, check percentages</v>
      </c>
      <c r="E31" s="2" t="str">
        <f>IF(E30=100,"","ERROR, check percentages")</f>
        <v/>
      </c>
      <c r="H31" s="2" t="str">
        <f>IF(H30=100,"","ERROR, check percentages")</f>
        <v/>
      </c>
    </row>
    <row r="33" spans="1:1" x14ac:dyDescent="0.35">
      <c r="A33" s="2" t="s">
        <v>163</v>
      </c>
    </row>
    <row r="34" spans="1:1" x14ac:dyDescent="0.35">
      <c r="A34" s="2" t="s">
        <v>165</v>
      </c>
    </row>
    <row r="35" spans="1:1" x14ac:dyDescent="0.35">
      <c r="A35" s="2" t="s">
        <v>162</v>
      </c>
    </row>
    <row r="36" spans="1:1" x14ac:dyDescent="0.35">
      <c r="A36" s="2" t="s">
        <v>164</v>
      </c>
    </row>
    <row r="37" spans="1:1" x14ac:dyDescent="0.35">
      <c r="A37" s="2" t="s">
        <v>166</v>
      </c>
    </row>
  </sheetData>
  <sheetProtection password="E385" sheet="1" objects="1" scenarios="1"/>
  <mergeCells count="8">
    <mergeCell ref="H3:H4"/>
    <mergeCell ref="B3:B4"/>
    <mergeCell ref="E3:E4"/>
    <mergeCell ref="B1:D1"/>
    <mergeCell ref="B2:D2"/>
    <mergeCell ref="E2:G2"/>
    <mergeCell ref="H2:J2"/>
    <mergeCell ref="E1:J1"/>
  </mergeCells>
  <conditionalFormatting sqref="B30">
    <cfRule type="cellIs" dxfId="2" priority="5" operator="notEqual">
      <formula>100</formula>
    </cfRule>
  </conditionalFormatting>
  <conditionalFormatting sqref="E30">
    <cfRule type="cellIs" dxfId="1" priority="2" operator="notEqual">
      <formula>100</formula>
    </cfRule>
  </conditionalFormatting>
  <conditionalFormatting sqref="H30">
    <cfRule type="cellIs" dxfId="0" priority="1" operator="notEqual">
      <formula>100</formula>
    </cfRule>
  </conditionalFormatting>
  <dataValidations count="1">
    <dataValidation type="decimal" allowBlank="1" showInputMessage="1" showErrorMessage="1" sqref="H6:I29 E6:F29 B6:C29" xr:uid="{00000000-0002-0000-0200-000000000000}">
      <formula1>0</formula1>
      <formula2>100</formula2>
    </dataValidation>
  </dataValidations>
  <pageMargins left="0.7" right="0.7" top="0.75" bottom="0.75" header="0.3" footer="0.3"/>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5"/>
  <sheetViews>
    <sheetView workbookViewId="0">
      <selection activeCell="C8" sqref="C8"/>
    </sheetView>
  </sheetViews>
  <sheetFormatPr defaultRowHeight="14.5" x14ac:dyDescent="0.35"/>
  <cols>
    <col min="1" max="1" width="15.453125" style="123" bestFit="1" customWidth="1"/>
    <col min="2" max="2" width="12.81640625" style="122" bestFit="1" customWidth="1"/>
    <col min="3" max="3" width="63.81640625" style="124" customWidth="1"/>
  </cols>
  <sheetData>
    <row r="1" spans="1:3" ht="21" x14ac:dyDescent="0.35">
      <c r="A1" s="121" t="s">
        <v>172</v>
      </c>
    </row>
    <row r="2" spans="1:3" x14ac:dyDescent="0.35">
      <c r="A2" s="128" t="s">
        <v>169</v>
      </c>
      <c r="B2" s="129" t="s">
        <v>170</v>
      </c>
      <c r="C2" s="130" t="s">
        <v>168</v>
      </c>
    </row>
    <row r="3" spans="1:3" x14ac:dyDescent="0.35">
      <c r="A3" s="127">
        <v>42417</v>
      </c>
      <c r="B3" s="125">
        <v>1</v>
      </c>
      <c r="C3" s="126" t="s">
        <v>171</v>
      </c>
    </row>
    <row r="4" spans="1:3" ht="29" x14ac:dyDescent="0.35">
      <c r="A4" s="239">
        <v>42433</v>
      </c>
      <c r="B4" s="237">
        <v>1.1000000000000001</v>
      </c>
      <c r="C4" s="126" t="s">
        <v>173</v>
      </c>
    </row>
    <row r="5" spans="1:3" ht="58" x14ac:dyDescent="0.35">
      <c r="A5" s="238"/>
      <c r="B5" s="238"/>
      <c r="C5" s="126" t="s">
        <v>174</v>
      </c>
    </row>
  </sheetData>
  <sheetProtection password="E385" sheet="1" objects="1" scenarios="1" selectLockedCells="1"/>
  <mergeCells count="2">
    <mergeCell ref="B4:B5"/>
    <mergeCell ref="A4:A5"/>
  </mergeCells>
  <pageMargins left="0.7" right="0.7" top="0.75" bottom="0.75" header="0.3" footer="0.3"/>
  <pageSetup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workbookViewId="0">
      <selection activeCell="A13" sqref="A13"/>
    </sheetView>
  </sheetViews>
  <sheetFormatPr defaultRowHeight="14.5" x14ac:dyDescent="0.35"/>
  <sheetData>
    <row r="1" spans="1:4" x14ac:dyDescent="0.35">
      <c r="A1" t="s">
        <v>90</v>
      </c>
      <c r="B1" t="s">
        <v>85</v>
      </c>
      <c r="C1" t="s">
        <v>86</v>
      </c>
      <c r="D1" t="s">
        <v>91</v>
      </c>
    </row>
    <row r="3" spans="1:4" x14ac:dyDescent="0.35">
      <c r="B3" t="s">
        <v>87</v>
      </c>
      <c r="C3" t="s">
        <v>67</v>
      </c>
      <c r="D3" t="s">
        <v>92</v>
      </c>
    </row>
    <row r="4" spans="1:4" x14ac:dyDescent="0.35">
      <c r="A4" t="s">
        <v>57</v>
      </c>
      <c r="B4" t="s">
        <v>89</v>
      </c>
      <c r="C4" t="s">
        <v>68</v>
      </c>
      <c r="D4" t="s">
        <v>93</v>
      </c>
    </row>
    <row r="5" spans="1:4" x14ac:dyDescent="0.35">
      <c r="A5" t="s">
        <v>60</v>
      </c>
      <c r="B5" t="s">
        <v>88</v>
      </c>
      <c r="D5" t="s">
        <v>118</v>
      </c>
    </row>
    <row r="11" spans="1:4" x14ac:dyDescent="0.35">
      <c r="A11" t="s">
        <v>160</v>
      </c>
      <c r="B11" t="s">
        <v>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E8705A9808694CA034E8A9DA9CD02A" ma:contentTypeVersion="0" ma:contentTypeDescription="Create a new document." ma:contentTypeScope="" ma:versionID="65796a202b898a853774461fa0d6de10">
  <xsd:schema xmlns:xsd="http://www.w3.org/2001/XMLSchema" xmlns:xs="http://www.w3.org/2001/XMLSchema" xmlns:p="http://schemas.microsoft.com/office/2006/metadata/properties" xmlns:ns1="http://schemas.microsoft.com/sharepoint/v3" xmlns:ns2="e3b31dab-bdf0-4a37-87c2-bc4db3547742" targetNamespace="http://schemas.microsoft.com/office/2006/metadata/properties" ma:root="true" ma:fieldsID="451e2e26bba35a9bf7d61e8ef8152502" ns1:_="" ns2:_="">
    <xsd:import namespace="http://schemas.microsoft.com/sharepoint/v3"/>
    <xsd:import namespace="e3b31dab-bdf0-4a37-87c2-bc4db3547742"/>
    <xsd:element name="properties">
      <xsd:complexType>
        <xsd:sequence>
          <xsd:element name="documentManagement">
            <xsd:complexType>
              <xsd:all>
                <xsd:element ref="ns2:OTE_x0020_Misc_x0020_Topic_x0020_Page" minOccurs="0"/>
                <xsd:element ref="ns2:ITS_x0020_Topics" minOccurs="0"/>
                <xsd:element ref="ns2:Region" minOccurs="0"/>
                <xsd:element ref="ns2:MOT_x0020_topics" minOccurs="0"/>
                <xsd:element ref="ns2:Topic_x0020_page" minOccurs="0"/>
                <xsd:element ref="ns2:ODOT_x0020_District" minOccurs="0"/>
                <xsd:element ref="ns2:ODOT_x0020_Signing_x0020_Programs" minOccurs="0"/>
                <xsd:element ref="ns1:PublishingStartDate" minOccurs="0"/>
                <xsd:element ref="ns1:PublishingExpirationDate" minOccurs="0"/>
                <xsd:element ref="ns2:Status" minOccurs="0"/>
                <xsd:element ref="ns2:SWISS_x0020_fil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internalName="PublishingStartDate">
      <xsd:simpleType>
        <xsd:restriction base="dms:Unknown"/>
      </xsd:simpleType>
    </xsd:element>
    <xsd:element name="PublishingExpirationDate" ma:index="10"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b31dab-bdf0-4a37-87c2-bc4db3547742" elementFormDefault="qualified">
    <xsd:import namespace="http://schemas.microsoft.com/office/2006/documentManagement/types"/>
    <xsd:import namespace="http://schemas.microsoft.com/office/infopath/2007/PartnerControls"/>
    <xsd:element name="OTE_x0020_Misc_x0020_Topic_x0020_Page" ma:index="2" nillable="true" ma:displayName="OTE Misc Topic Page" ma:format="Dropdown" ma:internalName="OTE_x0020_Misc_x0020_Topic_x0020_Page">
      <xsd:simpleType>
        <xsd:restriction base="dms:Choice">
          <xsd:enumeration value="ITS"/>
          <xsd:enumeration value="MOT"/>
          <xsd:enumeration value="Regulations"/>
          <xsd:enumeration value="Signing Programs"/>
          <xsd:enumeration value="other"/>
        </xsd:restriction>
      </xsd:simpleType>
    </xsd:element>
    <xsd:element name="ITS_x0020_Topics" ma:index="3" nillable="true" ma:displayName="ITS Topics" ma:default="" ma:format="Dropdown" ma:internalName="ITS_x0020_Topics">
      <xsd:simpleType>
        <xsd:restriction base="dms:Choice">
          <xsd:enumeration value="Plans/Studies"/>
          <xsd:enumeration value="Freeway Patrols"/>
          <xsd:enumeration value="Quickclear"/>
          <xsd:enumeration value="Playbook"/>
          <xsd:enumeration value="none"/>
        </xsd:restriction>
      </xsd:simpleType>
    </xsd:element>
    <xsd:element name="Region" ma:index="4" nillable="true" ma:displayName="Region" ma:default="" ma:format="Dropdown" ma:internalName="Region">
      <xsd:simpleType>
        <xsd:restriction base="dms:Choice">
          <xsd:enumeration value="Akron/Canton"/>
          <xsd:enumeration value="Cincinnati/Northern KY"/>
          <xsd:enumeration value="Cleveland"/>
          <xsd:enumeration value="Columbus"/>
          <xsd:enumeration value="Dayton/Springfield"/>
          <xsd:enumeration value="Youngstown"/>
          <xsd:enumeration value="Toledo"/>
          <xsd:enumeration value="all"/>
          <xsd:enumeration value="none"/>
        </xsd:restriction>
      </xsd:simpleType>
    </xsd:element>
    <xsd:element name="MOT_x0020_topics" ma:index="5" nillable="true" ma:displayName="MOT topics" ma:format="Dropdown" ma:internalName="MOT_x0020_topics">
      <xsd:simpleType>
        <xsd:restriction base="dms:Choice">
          <xsd:enumeration value="Policy"/>
          <xsd:enumeration value="MOTAA"/>
          <xsd:enumeration value="Analysis"/>
          <xsd:enumeration value="Examples"/>
          <xsd:enumeration value="Crash data"/>
          <xsd:enumeration value="none"/>
        </xsd:restriction>
      </xsd:simpleType>
    </xsd:element>
    <xsd:element name="Topic_x0020_page" ma:index="6" nillable="true" ma:displayName="Regulation Types" ma:default="" ma:format="Dropdown" ma:internalName="Topic_x0020_page">
      <xsd:simpleType>
        <xsd:restriction base="dms:Choice">
          <xsd:enumeration value="All Zones"/>
          <xsd:enumeration value="Speed Zones"/>
          <xsd:enumeration value="Special Speed Zones"/>
          <xsd:enumeration value="School Zones"/>
          <xsd:enumeration value="No Parking Zones"/>
          <xsd:enumeration value="Village Signal Permits"/>
          <xsd:enumeration value="Legislation"/>
          <xsd:enumeration value="Federal Regulations"/>
          <xsd:enumeration value="Other"/>
          <xsd:enumeration value="none"/>
        </xsd:restriction>
      </xsd:simpleType>
    </xsd:element>
    <xsd:element name="ODOT_x0020_District" ma:index="7" nillable="true" ma:displayName="ODOT District" ma:default="" ma:format="Dropdown" ma:internalName="ODOT_x0020_District">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enumeration value="all"/>
          <xsd:enumeration value="none"/>
        </xsd:restriction>
      </xsd:simpleType>
    </xsd:element>
    <xsd:element name="ODOT_x0020_Signing_x0020_Programs" ma:index="8" nillable="true" ma:displayName="ODOT Signing Programs" ma:description="type of signing program" ma:format="Dropdown" ma:internalName="ODOT_x0020_Signing_x0020_Programs">
      <xsd:simpleType>
        <xsd:restriction base="dms:Choice">
          <xsd:enumeration value="ARRA"/>
          <xsd:enumeration value="Logos"/>
          <xsd:enumeration value="TODS"/>
          <xsd:enumeration value="SSR"/>
          <xsd:enumeration value="other"/>
        </xsd:restriction>
      </xsd:simpleType>
    </xsd:element>
    <xsd:element name="Status" ma:index="11" nillable="true" ma:displayName="Status" ma:format="Dropdown" ma:internalName="Status">
      <xsd:simpleType>
        <xsd:restriction base="dms:Choice">
          <xsd:enumeration value="Current"/>
          <xsd:enumeration value="Archived"/>
          <xsd:enumeration value="Featured Item"/>
          <xsd:enumeration value="New Item!"/>
          <xsd:enumeration value="other"/>
        </xsd:restriction>
      </xsd:simpleType>
    </xsd:element>
    <xsd:element name="SWISS_x0020_files" ma:index="19" nillable="true" ma:displayName="SWISS files" ma:default="0" ma:description="If this is a file related to the SWISS program, click yes." ma:internalName="SWISS_x0020_files">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e3b31dab-bdf0-4a37-87c2-bc4db3547742">Current</Status>
    <SWISS_x0020_files xmlns="e3b31dab-bdf0-4a37-87c2-bc4db3547742">false</SWISS_x0020_files>
    <ITS_x0020_Topics xmlns="e3b31dab-bdf0-4a37-87c2-bc4db3547742" xsi:nil="true"/>
    <OTE_x0020_Misc_x0020_Topic_x0020_Page xmlns="e3b31dab-bdf0-4a37-87c2-bc4db3547742">MOT</OTE_x0020_Misc_x0020_Topic_x0020_Page>
    <Topic_x0020_page xmlns="e3b31dab-bdf0-4a37-87c2-bc4db3547742" xsi:nil="true"/>
    <MOT_x0020_topics xmlns="e3b31dab-bdf0-4a37-87c2-bc4db3547742">Analysis</MOT_x0020_topics>
    <ODOT_x0020_District xmlns="e3b31dab-bdf0-4a37-87c2-bc4db3547742" xsi:nil="true"/>
    <PublishingExpirationDate xmlns="http://schemas.microsoft.com/sharepoint/v3" xsi:nil="true"/>
    <PublishingStartDate xmlns="http://schemas.microsoft.com/sharepoint/v3" xsi:nil="true"/>
    <Region xmlns="e3b31dab-bdf0-4a37-87c2-bc4db3547742" xsi:nil="true"/>
    <ODOT_x0020_Signing_x0020_Programs xmlns="e3b31dab-bdf0-4a37-87c2-bc4db3547742" xsi:nil="true"/>
  </documentManagement>
</p:properties>
</file>

<file path=customXml/itemProps1.xml><?xml version="1.0" encoding="utf-8"?>
<ds:datastoreItem xmlns:ds="http://schemas.openxmlformats.org/officeDocument/2006/customXml" ds:itemID="{8E8D10B9-86A5-4C10-8C15-6BB24B8ECD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b31dab-bdf0-4a37-87c2-bc4db3547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AA7556-0D83-459D-B9FE-0ABD41A58F6C}">
  <ds:schemaRefs>
    <ds:schemaRef ds:uri="http://schemas.microsoft.com/sharepoint/v3/contenttype/forms"/>
  </ds:schemaRefs>
</ds:datastoreItem>
</file>

<file path=customXml/itemProps3.xml><?xml version="1.0" encoding="utf-8"?>
<ds:datastoreItem xmlns:ds="http://schemas.openxmlformats.org/officeDocument/2006/customXml" ds:itemID="{FA695328-B140-4B64-828A-E209186DCCEA}">
  <ds:schemaRefs>
    <ds:schemaRef ds:uri="http://purl.org/dc/terms/"/>
    <ds:schemaRef ds:uri="http://schemas.microsoft.com/office/2006/documentManagement/types"/>
    <ds:schemaRef ds:uri="http://schemas.microsoft.com/office/2006/metadata/properties"/>
    <ds:schemaRef ds:uri="http://purl.org/dc/elements/1.1/"/>
    <ds:schemaRef ds:uri="e3b31dab-bdf0-4a37-87c2-bc4db3547742"/>
    <ds:schemaRef ds:uri="http://schemas.microsoft.com/office/infopath/2007/PartnerControls"/>
    <ds:schemaRef ds:uri="http://schemas.openxmlformats.org/package/2006/metadata/core-propertie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AADT Queue Analysis</vt:lpstr>
      <vt:lpstr>Hourly Queue Analysis</vt:lpstr>
      <vt:lpstr>AADT</vt:lpstr>
      <vt:lpstr>Revision History</vt:lpstr>
      <vt:lpstr>NAMES</vt:lpstr>
      <vt:lpstr>Direction</vt:lpstr>
      <vt:lpstr>AADT!Print_Area</vt:lpstr>
      <vt:lpstr>'AADT Queue Analysis'!Print_Area</vt:lpstr>
      <vt:lpstr>'Hourly Queue Analysis'!Print_Area</vt:lpstr>
      <vt:lpstr>Roadway</vt:lpstr>
      <vt:lpstr>Terrain</vt:lpstr>
      <vt:lpstr>Volume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Lane Closure Queue Analysis Tool 2010HCM - ODOT - 3-4-16</dc:title>
  <dc:creator/>
  <cp:lastModifiedBy/>
  <dcterms:created xsi:type="dcterms:W3CDTF">2006-09-16T00:00:00Z</dcterms:created>
  <dcterms:modified xsi:type="dcterms:W3CDTF">2022-06-15T16:35:05Z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0x010100B5E8705A9808694CA034E8A9DA9CD02A</vt:lpwstr>
  </property>
</Properties>
</file>