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ouston-n\Desktop\"/>
    </mc:Choice>
  </mc:AlternateContent>
  <bookViews>
    <workbookView xWindow="0" yWindow="0" windowWidth="28800" windowHeight="14472" tabRatio="762" activeTab="1"/>
  </bookViews>
  <sheets>
    <sheet name="FLOWCHART" sheetId="19" r:id="rId1"/>
    <sheet name="WIND PRESSURE" sheetId="1" r:id="rId2"/>
    <sheet name="SECTION PROPERTIES" sheetId="3" r:id="rId3"/>
    <sheet name="U-POST SELECTOR" sheetId="11" r:id="rId4"/>
    <sheet name="P-POST SELECTOR" sheetId="13" r:id="rId5"/>
    <sheet name="I-BEAM SELECTOR" sheetId="17" r:id="rId6"/>
    <sheet name="WF-BEAM SELECTOR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3" l="1"/>
  <c r="D6" i="11"/>
  <c r="D7" i="11"/>
  <c r="D7" i="13" l="1"/>
  <c r="P12" i="16" l="1"/>
  <c r="P10" i="16"/>
  <c r="O9" i="16"/>
  <c r="O8" i="16"/>
  <c r="M13" i="17"/>
  <c r="P12" i="17"/>
  <c r="O9" i="17"/>
  <c r="O8" i="17"/>
  <c r="P10" i="17"/>
  <c r="T51" i="3" l="1"/>
  <c r="T50" i="3"/>
  <c r="T49" i="3"/>
  <c r="T48" i="3"/>
  <c r="V68" i="3"/>
  <c r="V67" i="3"/>
  <c r="V66" i="3"/>
  <c r="V65" i="3"/>
  <c r="V64" i="3"/>
  <c r="V48" i="3"/>
  <c r="V27" i="3"/>
  <c r="V63" i="3" l="1"/>
  <c r="V62" i="3"/>
  <c r="U62" i="3"/>
  <c r="T62" i="3"/>
  <c r="V51" i="3"/>
  <c r="V50" i="3"/>
  <c r="V49" i="3"/>
  <c r="M32" i="1"/>
  <c r="M27" i="1" s="1"/>
  <c r="D8" i="11" s="1"/>
  <c r="D16" i="11" s="1"/>
  <c r="F9" i="16"/>
  <c r="F9" i="17"/>
  <c r="F9" i="13"/>
  <c r="F9" i="11"/>
  <c r="D8" i="13" l="1"/>
  <c r="D16" i="13" s="1"/>
  <c r="V14" i="3"/>
  <c r="U14" i="3"/>
  <c r="V13" i="3"/>
  <c r="U13" i="3"/>
  <c r="V12" i="3"/>
  <c r="U12" i="3"/>
  <c r="V11" i="3"/>
  <c r="U11" i="3"/>
  <c r="V10" i="3"/>
  <c r="U10" i="3"/>
  <c r="V9" i="3"/>
  <c r="U9" i="3"/>
  <c r="V8" i="3"/>
  <c r="U8" i="3"/>
  <c r="V33" i="3"/>
  <c r="V30" i="3"/>
  <c r="V28" i="3"/>
  <c r="V35" i="3"/>
  <c r="V34" i="3"/>
  <c r="V32" i="3"/>
  <c r="V31" i="3"/>
  <c r="V29" i="3"/>
  <c r="U33" i="3"/>
  <c r="U30" i="3"/>
  <c r="U28" i="3"/>
  <c r="U35" i="3"/>
  <c r="U34" i="3"/>
  <c r="U32" i="3"/>
  <c r="U31" i="3"/>
  <c r="U29" i="3"/>
  <c r="U27" i="3"/>
  <c r="F16" i="11" l="1"/>
  <c r="M17" i="11"/>
  <c r="L17" i="11"/>
  <c r="D7" i="16"/>
  <c r="J24" i="16" l="1"/>
  <c r="P24" i="16" s="1"/>
  <c r="D6" i="16"/>
  <c r="D6" i="17" l="1"/>
  <c r="J24" i="17" l="1"/>
  <c r="P24" i="17" l="1"/>
  <c r="D7" i="17"/>
  <c r="N17" i="11"/>
  <c r="N18" i="11" s="1"/>
  <c r="F8" i="11" l="1"/>
  <c r="D8" i="17"/>
  <c r="D16" i="17" s="1"/>
  <c r="D8" i="16"/>
  <c r="N17" i="17" l="1"/>
  <c r="M17" i="17"/>
  <c r="L17" i="17"/>
  <c r="F17" i="17"/>
  <c r="D16" i="16"/>
  <c r="F17" i="11"/>
  <c r="L17" i="13" l="1"/>
  <c r="M17" i="13"/>
  <c r="N17" i="16"/>
  <c r="N18" i="16" s="1"/>
  <c r="M17" i="16"/>
  <c r="L17" i="16"/>
  <c r="F17" i="16"/>
  <c r="F8" i="13"/>
  <c r="F7" i="13"/>
  <c r="F8" i="17"/>
  <c r="M28" i="1"/>
  <c r="N28" i="1" s="1"/>
  <c r="N17" i="13" l="1"/>
  <c r="F17" i="13"/>
  <c r="U51" i="3"/>
  <c r="U50" i="3"/>
  <c r="U49" i="3"/>
  <c r="U48" i="3"/>
  <c r="F7" i="17"/>
  <c r="U68" i="3" l="1"/>
  <c r="U67" i="3"/>
  <c r="U66" i="3"/>
  <c r="U65" i="3"/>
  <c r="U64" i="3"/>
  <c r="U63" i="3"/>
  <c r="T68" i="3"/>
  <c r="T67" i="3"/>
  <c r="T66" i="3"/>
  <c r="T65" i="3"/>
  <c r="T64" i="3"/>
  <c r="T63" i="3"/>
  <c r="F8" i="16" l="1"/>
  <c r="F7" i="16"/>
  <c r="M68" i="3" l="1"/>
  <c r="O68" i="3" s="1"/>
  <c r="M67" i="3"/>
  <c r="O67" i="3" s="1"/>
  <c r="M66" i="3"/>
  <c r="O66" i="3" s="1"/>
  <c r="M65" i="3"/>
  <c r="O65" i="3" s="1"/>
  <c r="M64" i="3"/>
  <c r="O64" i="3" s="1"/>
  <c r="M63" i="3"/>
  <c r="O63" i="3" s="1"/>
  <c r="M62" i="3"/>
  <c r="O62" i="3" s="1"/>
  <c r="M51" i="3" l="1"/>
  <c r="O51" i="3" s="1"/>
  <c r="M50" i="3"/>
  <c r="O50" i="3" s="1"/>
  <c r="M49" i="3"/>
  <c r="O49" i="3" s="1"/>
  <c r="M48" i="3"/>
  <c r="O48" i="3" s="1"/>
  <c r="F7" i="11" l="1"/>
  <c r="I35" i="3" l="1"/>
  <c r="M35" i="3" s="1"/>
  <c r="O35" i="3" s="1"/>
  <c r="I28" i="3"/>
  <c r="M28" i="3" s="1"/>
  <c r="O28" i="3" s="1"/>
  <c r="I30" i="3"/>
  <c r="M30" i="3" s="1"/>
  <c r="O30" i="3" s="1"/>
  <c r="I33" i="3"/>
  <c r="M33" i="3" s="1"/>
  <c r="O33" i="3" s="1"/>
  <c r="M14" i="3" l="1"/>
  <c r="O14" i="3" s="1"/>
  <c r="M13" i="3"/>
  <c r="O13" i="3" s="1"/>
  <c r="M12" i="3"/>
  <c r="O12" i="3" s="1"/>
  <c r="M11" i="3"/>
  <c r="O11" i="3" s="1"/>
  <c r="M10" i="3"/>
  <c r="M9" i="3"/>
  <c r="M8" i="3"/>
  <c r="O9" i="3" l="1"/>
  <c r="O10" i="3"/>
  <c r="O8" i="3"/>
  <c r="I27" i="3"/>
  <c r="M27" i="3" s="1"/>
  <c r="O27" i="3" s="1"/>
  <c r="I29" i="3"/>
  <c r="M29" i="3" s="1"/>
  <c r="O29" i="3" s="1"/>
  <c r="I31" i="3"/>
  <c r="M31" i="3" s="1"/>
  <c r="O31" i="3" s="1"/>
  <c r="I32" i="3"/>
  <c r="M32" i="3" s="1"/>
  <c r="O32" i="3" s="1"/>
  <c r="I34" i="3"/>
  <c r="M34" i="3" s="1"/>
  <c r="O34" i="3" s="1"/>
  <c r="D15" i="1" l="1"/>
  <c r="D20" i="1" l="1"/>
  <c r="G15" i="1"/>
  <c r="D30" i="1"/>
  <c r="M24" i="1"/>
  <c r="M23" i="1"/>
  <c r="D27" i="1" l="1"/>
  <c r="D31" i="1" s="1"/>
  <c r="D32" i="1" s="1"/>
  <c r="D12" i="16" l="1"/>
  <c r="D12" i="17" l="1"/>
  <c r="D12" i="11"/>
  <c r="D12" i="13"/>
  <c r="D13" i="13" s="1"/>
  <c r="D17" i="13" s="1"/>
  <c r="L18" i="13" s="1"/>
  <c r="D13" i="11" l="1"/>
  <c r="D17" i="11" s="1"/>
  <c r="M18" i="11" s="1"/>
  <c r="D17" i="17"/>
  <c r="N18" i="17" s="1"/>
  <c r="D13" i="17"/>
  <c r="D19" i="17"/>
  <c r="F19" i="17" s="1"/>
  <c r="D18" i="17"/>
  <c r="D18" i="13"/>
  <c r="D20" i="13"/>
  <c r="D19" i="13"/>
  <c r="N22" i="17"/>
  <c r="N23" i="17"/>
  <c r="L18" i="17"/>
  <c r="D18" i="11" l="1"/>
  <c r="L18" i="11"/>
  <c r="N20" i="11" s="1"/>
  <c r="N18" i="13"/>
  <c r="M18" i="13"/>
  <c r="B21" i="13"/>
  <c r="N21" i="13" s="1"/>
  <c r="F20" i="13"/>
  <c r="N20" i="13" l="1"/>
  <c r="N22" i="13"/>
  <c r="N23" i="13"/>
  <c r="D23" i="13" l="1"/>
  <c r="D25" i="13" s="1"/>
  <c r="M18" i="17" l="1"/>
  <c r="N20" i="17" s="1"/>
  <c r="N36" i="17"/>
  <c r="L36" i="17"/>
  <c r="F36" i="17"/>
  <c r="E36" i="17"/>
  <c r="G36" i="17"/>
  <c r="K36" i="17"/>
  <c r="M36" i="17"/>
  <c r="F16" i="17"/>
  <c r="M36" i="13"/>
  <c r="F16" i="13"/>
  <c r="F36" i="13"/>
  <c r="N36" i="13"/>
  <c r="L36" i="13"/>
  <c r="E36" i="13"/>
  <c r="G36" i="13"/>
  <c r="K36" i="13"/>
  <c r="D24" i="13"/>
  <c r="N36" i="16" l="1"/>
  <c r="F16" i="16"/>
  <c r="M36" i="16"/>
  <c r="E36" i="16"/>
  <c r="K36" i="16"/>
  <c r="F36" i="16"/>
  <c r="G36" i="16"/>
  <c r="L36" i="16"/>
  <c r="K36" i="11" l="1"/>
  <c r="M36" i="11"/>
  <c r="G36" i="11"/>
  <c r="N36" i="11"/>
  <c r="L36" i="11"/>
  <c r="E36" i="11"/>
  <c r="F36" i="11"/>
  <c r="F18" i="11" l="1"/>
  <c r="B19" i="11"/>
  <c r="N21" i="11" l="1"/>
  <c r="N23" i="11"/>
  <c r="N22" i="11"/>
  <c r="D13" i="16" l="1"/>
  <c r="D17" i="16" s="1"/>
  <c r="D18" i="16" l="1"/>
  <c r="D19" i="16"/>
  <c r="F19" i="16" s="1"/>
  <c r="N23" i="16"/>
  <c r="N22" i="16"/>
  <c r="M18" i="16"/>
  <c r="L18" i="16"/>
  <c r="N20" i="16" l="1"/>
</calcChain>
</file>

<file path=xl/sharedStrings.xml><?xml version="1.0" encoding="utf-8"?>
<sst xmlns="http://schemas.openxmlformats.org/spreadsheetml/2006/main" count="832" uniqueCount="326">
  <si>
    <t>REFERENCES:</t>
  </si>
  <si>
    <t>WIND PRESSURE CALCULATION</t>
  </si>
  <si>
    <t>STEP 1: DETERMINE THE MEAN RECURRENCE INTERVAL (REF. 1, TABLE 3.8-1)</t>
  </si>
  <si>
    <t>TYPICAL</t>
  </si>
  <si>
    <t>HIGH</t>
  </si>
  <si>
    <t>RISK CATEGORY</t>
  </si>
  <si>
    <t>LOW</t>
  </si>
  <si>
    <t>TRAFFIC VOLUME</t>
  </si>
  <si>
    <t>ADT ≤ 100</t>
  </si>
  <si>
    <t>ADT &gt; 10000</t>
  </si>
  <si>
    <t>1000 &lt; ADT ≤ 10000</t>
  </si>
  <si>
    <t>100 &lt; ADT ≤ 1000</t>
  </si>
  <si>
    <t>TYPICAL: FAILURE COULD CROSS TRAVELWAY</t>
  </si>
  <si>
    <t>HIGH: SUPPORT FAILURE COULD STOP A LIFELINE TRAVELWAY</t>
  </si>
  <si>
    <t>LOW: SUPPORT FAILURE COULD NOT CROSS TRAVELWAY</t>
  </si>
  <si>
    <t>ROADSIDE SIGN SUPPORTS: USE 10-YR MRI (REF. 1, FIGURE 3.8-4)</t>
  </si>
  <si>
    <t>YR</t>
  </si>
  <si>
    <t>MPH</t>
  </si>
  <si>
    <t>INPUTS</t>
  </si>
  <si>
    <t>ADT =</t>
  </si>
  <si>
    <t>(REF. 1, EQ. 3.8.1-1)</t>
  </si>
  <si>
    <t>MRI =</t>
  </si>
  <si>
    <t>STEP 2: DETERMINE BASIC WIND SPEED FROM FIGURE LISTED ABOVE</t>
  </si>
  <si>
    <t>(REF. 1, ART. 3.8.4)</t>
  </si>
  <si>
    <t>FT</t>
  </si>
  <si>
    <t>C</t>
  </si>
  <si>
    <t>CONSTANTS:</t>
  </si>
  <si>
    <t>α =</t>
  </si>
  <si>
    <t>zg =</t>
  </si>
  <si>
    <t>LEGEND:</t>
  </si>
  <si>
    <t>RC =</t>
  </si>
  <si>
    <t>MEAN RECURRENCE INTERVAL</t>
  </si>
  <si>
    <t>AVERAGE DAILY TRAFFIC</t>
  </si>
  <si>
    <t>V =</t>
  </si>
  <si>
    <t>BASIC WIND SPEED</t>
  </si>
  <si>
    <t>EXP =</t>
  </si>
  <si>
    <t>z =</t>
  </si>
  <si>
    <t>Kz =</t>
  </si>
  <si>
    <t>Kd =</t>
  </si>
  <si>
    <t>DIRECTIONALITY FACTOR</t>
  </si>
  <si>
    <t>Pz =</t>
  </si>
  <si>
    <t>DESIGN WIND PRESSURE</t>
  </si>
  <si>
    <t>TABLE 3.8-1 - MEAN RECURRENCE INTERVAL</t>
  </si>
  <si>
    <t>(REF. 1, TABLE 3.8.5-1)</t>
  </si>
  <si>
    <t>G =</t>
  </si>
  <si>
    <t>GUST EFFECT FACTOR</t>
  </si>
  <si>
    <t>(REF. 1, ART. 3.8.6)</t>
  </si>
  <si>
    <t>DRAG COEFFICIENT</t>
  </si>
  <si>
    <t>Cd =</t>
  </si>
  <si>
    <t>(REF. 1, TABLE 3.8.7-1)</t>
  </si>
  <si>
    <t>SIGN PANEL:</t>
  </si>
  <si>
    <t>W =</t>
  </si>
  <si>
    <t>TABLE 3.8.7-1 - WIND DRAG COEFFICIENTS</t>
  </si>
  <si>
    <t>SIGN PANEL RATIO</t>
  </si>
  <si>
    <t>Cd</t>
  </si>
  <si>
    <t>PSF</t>
  </si>
  <si>
    <t>DESIGN WIND FORCE</t>
  </si>
  <si>
    <t>Pf =</t>
  </si>
  <si>
    <t>TABLE 3.8.5-1 - DIRECTIONALITY FACTORS</t>
  </si>
  <si>
    <t>SUPPORT TYPE</t>
  </si>
  <si>
    <t>Kd</t>
  </si>
  <si>
    <t>TRAFFIC SIGNAL</t>
  </si>
  <si>
    <t>DYNAMIC MESSGAE SIGN</t>
  </si>
  <si>
    <t>OH FRAME / TRUSS</t>
  </si>
  <si>
    <t>DATE:</t>
  </si>
  <si>
    <t>DESIGNED BY:</t>
  </si>
  <si>
    <t>IN</t>
  </si>
  <si>
    <t>SIGN</t>
  </si>
  <si>
    <t>HEIGHT</t>
  </si>
  <si>
    <t>AREA</t>
  </si>
  <si>
    <t>TERRAIN EXPOSURE CONDITION</t>
  </si>
  <si>
    <t>HEIGHT ABOVE THE GROUND</t>
  </si>
  <si>
    <t>HEIGHT &amp; EXPOSURE FACTOR</t>
  </si>
  <si>
    <t>ROADWAY SIGN</t>
  </si>
  <si>
    <t>STEP 3: CALCULATE DESIGN WIND PRESSURE / FORCE (REF. 1, ART. 3.8.1)</t>
  </si>
  <si>
    <t>(IN)</t>
  </si>
  <si>
    <t>MOMENT</t>
  </si>
  <si>
    <t>(LB-IN)</t>
  </si>
  <si>
    <t>H =</t>
  </si>
  <si>
    <t>(IN^2)</t>
  </si>
  <si>
    <t>(LB.)</t>
  </si>
  <si>
    <t>DESIGNATION</t>
  </si>
  <si>
    <t>MEMBER</t>
  </si>
  <si>
    <t>P1</t>
  </si>
  <si>
    <t>P2</t>
  </si>
  <si>
    <t>P3</t>
  </si>
  <si>
    <t>P4</t>
  </si>
  <si>
    <t>SIZE</t>
  </si>
  <si>
    <t>P5</t>
  </si>
  <si>
    <t>I</t>
  </si>
  <si>
    <t>(IN^3)</t>
  </si>
  <si>
    <t>S</t>
  </si>
  <si>
    <t>(IN^4)</t>
  </si>
  <si>
    <t>Z</t>
  </si>
  <si>
    <t>WEIGHT</t>
  </si>
  <si>
    <t>(LB/FT)</t>
  </si>
  <si>
    <t>(GA.)</t>
  </si>
  <si>
    <t>GAUGE</t>
  </si>
  <si>
    <t>NOMINAL</t>
  </si>
  <si>
    <t>Fy</t>
  </si>
  <si>
    <t>(PSI)</t>
  </si>
  <si>
    <t>FACTOR</t>
  </si>
  <si>
    <t>FACTORED</t>
  </si>
  <si>
    <t>YIELD</t>
  </si>
  <si>
    <t>STRENGTH</t>
  </si>
  <si>
    <t>STANDARD</t>
  </si>
  <si>
    <t>US</t>
  </si>
  <si>
    <t>Wt.</t>
  </si>
  <si>
    <t>Mn</t>
  </si>
  <si>
    <t>RESISTANCE</t>
  </si>
  <si>
    <t>Φf</t>
  </si>
  <si>
    <t>Mr</t>
  </si>
  <si>
    <t>P-POST</t>
  </si>
  <si>
    <t>A</t>
  </si>
  <si>
    <t>MODULUS</t>
  </si>
  <si>
    <t>PLASTIC</t>
  </si>
  <si>
    <t>SECTION</t>
  </si>
  <si>
    <t>OF INERTIA</t>
  </si>
  <si>
    <t>P-POST SIGN SELECTOR</t>
  </si>
  <si>
    <t>CHECKED BY:</t>
  </si>
  <si>
    <t>SIGN WIDTH</t>
  </si>
  <si>
    <t>POST SIZE =</t>
  </si>
  <si>
    <t>FACE</t>
  </si>
  <si>
    <t>GROUND</t>
  </si>
  <si>
    <t>C =</t>
  </si>
  <si>
    <t>NOTES:</t>
  </si>
  <si>
    <t>AASHTO LRFD SPECIFICATIONS, SECTION 5</t>
  </si>
  <si>
    <t>(FT)</t>
  </si>
  <si>
    <t>NOTE: MINIMUM CLEAR HEIGHT OF 5 FT FOR RURAL &amp; 7 FT FOR URBAN / FREEWAY.</t>
  </si>
  <si>
    <t>(LB-FT)</t>
  </si>
  <si>
    <t>SQ. TUBE</t>
  </si>
  <si>
    <t>W=</t>
  </si>
  <si>
    <t>H=</t>
  </si>
  <si>
    <t>SIGN HEIGHT</t>
  </si>
  <si>
    <t>CLEAR HEIGHT</t>
  </si>
  <si>
    <t>SIGN INFORMATION:</t>
  </si>
  <si>
    <t>WIND MOMENT</t>
  </si>
  <si>
    <t>LB-FT</t>
  </si>
  <si>
    <t>Mwind =</t>
  </si>
  <si>
    <t>INSTRUCTIONS:</t>
  </si>
  <si>
    <t>ASSUMPTIONS:</t>
  </si>
  <si>
    <t>POST DESIGN:</t>
  </si>
  <si>
    <t>MEMBER DESIGNATION =</t>
  </si>
  <si>
    <t>NUMBER OF POST =</t>
  </si>
  <si>
    <t>GUAGE THICKNESS =</t>
  </si>
  <si>
    <t>GA.</t>
  </si>
  <si>
    <t>FACTORED MOMENT =</t>
  </si>
  <si>
    <t>MOMENT REQUIRED:</t>
  </si>
  <si>
    <t>TWO-POST SCHEMATIC</t>
  </si>
  <si>
    <t>THREE-POST SCHEMATIC</t>
  </si>
  <si>
    <t>U1</t>
  </si>
  <si>
    <t>U2</t>
  </si>
  <si>
    <t>U3</t>
  </si>
  <si>
    <t>U4</t>
  </si>
  <si>
    <t>U5</t>
  </si>
  <si>
    <t>U6</t>
  </si>
  <si>
    <t>U7</t>
  </si>
  <si>
    <t>SECTION PROPERTIES FOR P-POST</t>
  </si>
  <si>
    <t xml:space="preserve"> SECTION PROPERTIES FOR U-POST</t>
  </si>
  <si>
    <t>U-POST SIGN SELECTOR</t>
  </si>
  <si>
    <t>P6</t>
  </si>
  <si>
    <t>P7</t>
  </si>
  <si>
    <t>P8</t>
  </si>
  <si>
    <t>P9</t>
  </si>
  <si>
    <t>ROADWAY SHOULDER INFORMATION:</t>
  </si>
  <si>
    <t>FT/FT</t>
  </si>
  <si>
    <t>H:V</t>
  </si>
  <si>
    <t>LB.</t>
  </si>
  <si>
    <t>1 POST</t>
  </si>
  <si>
    <t>2 POST</t>
  </si>
  <si>
    <t>3 POST</t>
  </si>
  <si>
    <t>STUB</t>
  </si>
  <si>
    <t>POST LENGTH =</t>
  </si>
  <si>
    <t>POST WEIGHT =</t>
  </si>
  <si>
    <t>1. USE SIGN SIZE TO DETERMINE WIND PRESSURE.</t>
  </si>
  <si>
    <t>2. FOR MULTIPLE SIGNS USE MAXIMUM WIDTH AND COMBINED HEIGHT TO DETERMINE WIND PRESSURE.</t>
  </si>
  <si>
    <t>S3</t>
  </si>
  <si>
    <t>S4</t>
  </si>
  <si>
    <t>I-BEAM</t>
  </si>
  <si>
    <t>POST</t>
  </si>
  <si>
    <t>S5</t>
  </si>
  <si>
    <t>S6</t>
  </si>
  <si>
    <t>S3 x 5.7</t>
  </si>
  <si>
    <t>S4 x 7.7</t>
  </si>
  <si>
    <t>S5 x 10.0</t>
  </si>
  <si>
    <t>S6 x 12.5</t>
  </si>
  <si>
    <t>EA.</t>
  </si>
  <si>
    <t>TOTAL POST WEIGHT (SUM OF ABOVE) =</t>
  </si>
  <si>
    <t>713-11.02</t>
  </si>
  <si>
    <t>ITEM NO.</t>
  </si>
  <si>
    <t>POST LENGTH / WEIGHT CALCULATIONS:</t>
  </si>
  <si>
    <t>713-11.21</t>
  </si>
  <si>
    <t>713-11.22</t>
  </si>
  <si>
    <t>713-11.01</t>
  </si>
  <si>
    <t>WF-BEAM</t>
  </si>
  <si>
    <t>SECTION PROPERTIES FOR I-BEAM</t>
  </si>
  <si>
    <t>W1</t>
  </si>
  <si>
    <t>W2</t>
  </si>
  <si>
    <t>W3</t>
  </si>
  <si>
    <t>W4</t>
  </si>
  <si>
    <t>W5</t>
  </si>
  <si>
    <t>W6</t>
  </si>
  <si>
    <t>W7</t>
  </si>
  <si>
    <t>W6 x 15</t>
  </si>
  <si>
    <t>W6 x20</t>
  </si>
  <si>
    <t>W8 x 24</t>
  </si>
  <si>
    <t>W8 x 35</t>
  </si>
  <si>
    <t>W10 x 30</t>
  </si>
  <si>
    <t>W10 x 33</t>
  </si>
  <si>
    <t>W12 x 30</t>
  </si>
  <si>
    <t>3. ROUNDUP SIGN WIDTH AND HEIGHT TO NEAREAST HALF-FOOT INCREMENT.</t>
  </si>
  <si>
    <t>2. SIGN AREA ≥ 50 FT^2</t>
  </si>
  <si>
    <t>3. TWO-POST FOR SIGN WIDTHS ≥ 12.5 FT. BUT &lt; 22.5 FT.</t>
  </si>
  <si>
    <t>4. THREE-POST FOR SIGN WIDTHS ≥ 22.5 FT.</t>
  </si>
  <si>
    <t>1. SIGN WIDTH ≥ 12.5 FT.</t>
  </si>
  <si>
    <t>WF-BEAM SIGN SELECTOR</t>
  </si>
  <si>
    <t>713-06</t>
  </si>
  <si>
    <t>SECTION PROPERTIES FOR WF-BEAM</t>
  </si>
  <si>
    <t>1. SEE TDOT STANDARD DRAWINGS T-S-9, T-S-12, T-S-17, AND T-S-23A FOR ADDITIONAL DETAILS AND NOTES.</t>
  </si>
  <si>
    <t>CLASS "A" CONCRETE (IF REQUIRED) =</t>
  </si>
  <si>
    <t>STEEL BAR REINFORCEMENT (IF REQUIRED) =</t>
  </si>
  <si>
    <t>713-01.01</t>
  </si>
  <si>
    <t>713-01.02</t>
  </si>
  <si>
    <t>TOTAL NUMBER OF SLIP POST (IF REQUIRED) =</t>
  </si>
  <si>
    <t>CY</t>
  </si>
  <si>
    <t>1. SEE TDOT STANDARD DRAWINGS T-S-9 AND T-S-14 FOR ADDITIONAL DETAILS AND NOTES.</t>
  </si>
  <si>
    <t>TYPE 6</t>
  </si>
  <si>
    <t>DIAMETER</t>
  </si>
  <si>
    <t>FOOTING</t>
  </si>
  <si>
    <t>FOUNDATION</t>
  </si>
  <si>
    <t>LENGTH</t>
  </si>
  <si>
    <t>BAR</t>
  </si>
  <si>
    <t>L</t>
  </si>
  <si>
    <t>(CY)</t>
  </si>
  <si>
    <t>CLASS</t>
  </si>
  <si>
    <t>"A"</t>
  </si>
  <si>
    <t>CONCRETE</t>
  </si>
  <si>
    <t>STEEL</t>
  </si>
  <si>
    <t>REINF.</t>
  </si>
  <si>
    <t>1. SEE TDOT STANDARD DRAWINGS T-S-9 AND T-S-13 FOR ADDITIONAL DETAILS AND NOTES.</t>
  </si>
  <si>
    <t>I-BEAM SIGN SELECTOR</t>
  </si>
  <si>
    <t>1. SIGN WIDTH ≥ 10 FT.</t>
  </si>
  <si>
    <t>3. TWO-POST FOR SIGN WIDTHS ≥ 10 FT. BUT &lt; 18 FT.</t>
  </si>
  <si>
    <t>4. THREE-POST FOR SIGN WIDTHS ≥ 18 FT.</t>
  </si>
  <si>
    <t>TYPE 5</t>
  </si>
  <si>
    <t>CLASS "A" CONCRETE =</t>
  </si>
  <si>
    <t>STEEL BAR REINFORCEMENT =</t>
  </si>
  <si>
    <t>1. AASHTO LRFD SPECIFICATIONS FOR STRUCTURAL SUPPORTS FOR HIGHWAY SIGNS, LUMINAIRES, AND TRAFFIC SIGNALS, 1ST EDITION, 2015.</t>
  </si>
  <si>
    <t>FLOWCHART</t>
  </si>
  <si>
    <t>RATIO =</t>
  </si>
  <si>
    <t>EXPOSURE CONDITION</t>
  </si>
  <si>
    <t>DEFINITION</t>
  </si>
  <si>
    <t>B</t>
  </si>
  <si>
    <t>URBAN AND SUBURBAN AREAS, WOODED AREAS, OR OTHER</t>
  </si>
  <si>
    <t>TERRAIN WITH NUMEROUS CLOSELY SPACED OBSTRUCTIONS</t>
  </si>
  <si>
    <t>HAVING THE SIZE OF SINGLE-FAMILY DWELLINGS OR LARGER</t>
  </si>
  <si>
    <t xml:space="preserve">OPEN TERRAIN WITH SCATTERED OBSTRUCTIONS HAVING HEIGHTS </t>
  </si>
  <si>
    <t xml:space="preserve">GENERALLY LESS THAN 30 FT. (INCLUDES FLAT OPEN COUNTRY </t>
  </si>
  <si>
    <t>AND GRASSLANDS)</t>
  </si>
  <si>
    <t>D</t>
  </si>
  <si>
    <t xml:space="preserve">FLAT, UNOBSTRUCTED AREAS AND WATER SURFACES  (INCLUDES </t>
  </si>
  <si>
    <t>SMOOTH MUD FLATS, SALT FLATS, AND UNBROKEN ICE)</t>
  </si>
  <si>
    <t>2. ASCE/SEI 7-10 MINIMUM DESIGN LOADS FOR BUILDINGS AND OTHER STRUCTURES, 2010.</t>
  </si>
  <si>
    <t>NOTE: SIGN PANEL RATIO IS DETERMINED BY DIVIDING THE LONGER DIMENSION</t>
  </si>
  <si>
    <t>BY THE SHORTER DIMENSION (RATIO WILL NEVER BE LESS THAN 1.0).</t>
  </si>
  <si>
    <t>(REF. 2, ART. 26.7.2)</t>
  </si>
  <si>
    <t>TERRAIN EXPOSURE CONDITION DEFINITIONS</t>
  </si>
  <si>
    <r>
      <t>NOTE: EXPOSURE C IS GENERALLY USED FOR HIGHWAY SIGN DESIGN (</t>
    </r>
    <r>
      <rPr>
        <i/>
        <sz val="10"/>
        <color theme="1"/>
        <rFont val="Arial"/>
        <family val="2"/>
      </rPr>
      <t>REF. 1, ART. C3.8.4</t>
    </r>
    <r>
      <rPr>
        <sz val="10"/>
        <color theme="1"/>
        <rFont val="Arial"/>
        <family val="2"/>
      </rPr>
      <t>).</t>
    </r>
  </si>
  <si>
    <t>1. SEE TDOT STANDARD DRAWING T-S-19 FOR SECTION PROPERTIES AND ANY ADDITIONAL INFORMATION.</t>
  </si>
  <si>
    <t>2. PLASTIC SECTION MODULUS (Z) IS BASED ON THE SHAPE FACTOR (Kp) = 1.12 PER AASHTO LRFD SPECIFICATIONS, TABLE B.2-1.</t>
  </si>
  <si>
    <t>2. NOMINAL MOMENT (Mn) IS BASED ON AISC SECTION F12 UNSYMMETRICAL SHAPES.</t>
  </si>
  <si>
    <t>1. SEE AISC TABLE 1-3 FOR SECTION PROPERTIES AND TDOT STANDARD DRAWING T-S-13 FOR ANY ADDITIONAL INFORMATION.</t>
  </si>
  <si>
    <t>1. SEE AISC TABLE 1-3 FOR SECTION PROPERTIES AND TDOT STANDARD DRAWING T-S-14 FOR ANY ADDITIONAL INFORMATION.</t>
  </si>
  <si>
    <t>XXX</t>
  </si>
  <si>
    <t>XX/XX/20XX</t>
  </si>
  <si>
    <t>3. SEE TDOT TRAFFIC DESIGN MANUAL TABLE 14.2 FOR STUB WEIGHTS AND ANY ADDITIONAL INFORMATION.</t>
  </si>
  <si>
    <t>1. ALL SIGNS PLACED INSIDE THE ROADWAY CLEAR ZONE SHOULD BE BREAKAWAY, YIELDING, OR SHIELDED BY A BARRIER OR CRASH CUSHION.</t>
  </si>
  <si>
    <t>2. SEE STANDARD DRAWINGS T-S-12, T-S-13, T-S-14, T-S-16, T-S-23A, T-S-23B, &amp; T-S-23C FOR ADDITIONAL DETAILS AND NOTES.</t>
  </si>
  <si>
    <t>EQUIVALENT ROUND POST (ITEM NO. 713-11.03):</t>
  </si>
  <si>
    <t>3. POST WEIGHT FOR P-POST MEMBERS (EQUIVALENT POST WEIGHT WILL NEED TO BE CALCULATED IF ROUND POST ARE USED).</t>
  </si>
  <si>
    <t>2. SEE TDOT STANDARD DRAWINGS T-S-19 AND T-S-23B FOR ROUND POST ADDITIONAL DETAILS AND NOTES.</t>
  </si>
  <si>
    <t>BREAKPOINT OFFSET FROM SHLD</t>
  </si>
  <si>
    <t>SHOULDER WIDTH =</t>
  </si>
  <si>
    <t>SHOULDER SLOPE =</t>
  </si>
  <si>
    <t>BREAKPOINT SLOPE =</t>
  </si>
  <si>
    <t>SIGN STATION:</t>
  </si>
  <si>
    <t>SIGN NUMBER:</t>
  </si>
  <si>
    <t>XXX+XX.XX</t>
  </si>
  <si>
    <t>---&gt; FOR EXAMPLE:  A SECONDARY OR AUXILIARY SIGN (EXIT ONLY) MOUNTED TO THE MAJOR SIGN.</t>
  </si>
  <si>
    <t>MAJOR SIGN HEIGHT</t>
  </si>
  <si>
    <t>SECONDARY SIGN HEIGHT</t>
  </si>
  <si>
    <t>COMBINED SIGN HEIGHT</t>
  </si>
  <si>
    <t>SOIL EMBEDMENT =</t>
  </si>
  <si>
    <t>TOTAL NUMBER OF SLIP BASE (IF REQUIRED) =</t>
  </si>
  <si>
    <t>FORE SLOPE =</t>
  </si>
  <si>
    <t>1. SEE TDOT STANDARD DRAWINGS T-S-9, T-S-12, T-S-16, AND T-S-23C FOR ADDITIONAL DETAILS AND NOTES.</t>
  </si>
  <si>
    <t>WIND PRESSURE</t>
  </si>
  <si>
    <t>1. USE FULL SHOULDER WIDTH (INCLUDES UNSTABILIZED SHOULDER WIDTH IF APPLICABLE).</t>
  </si>
  <si>
    <t>2. USE 3.5 FT. UNLESS MEMBER U7 IS REQUIRED &amp; NOT BEHIND GUARDRAIL. FOR THAT CASE, USE 0 FT.</t>
  </si>
  <si>
    <t>2. USE 3 FT. UNLESS MEMBER P5, P6, OR P9 IS REQUIRED &amp; NOT BEHIND GUARDRAIL. FOR THAT CASE, USE 0 FT.</t>
  </si>
  <si>
    <t>SEE INSTRUCTIONS #2</t>
  </si>
  <si>
    <t>DIST TO SIGN EDGE FROM EOP =</t>
  </si>
  <si>
    <t>SEE T-S-13 DETAILS</t>
  </si>
  <si>
    <t>SEE T-S-14 DETAILS</t>
  </si>
  <si>
    <r>
      <t xml:space="preserve">2. </t>
    </r>
    <r>
      <rPr>
        <b/>
        <u/>
        <sz val="10"/>
        <color theme="1"/>
        <rFont val="Arial"/>
        <family val="2"/>
      </rPr>
      <t>SOIL EMBEDMENT</t>
    </r>
    <r>
      <rPr>
        <sz val="10"/>
        <color theme="1"/>
        <rFont val="Arial"/>
        <family val="2"/>
      </rPr>
      <t xml:space="preserve"> = USE 2.5 FT FOR W6x15, W6x20. ALL OTHER MEMBERS USE 3 FT.</t>
    </r>
  </si>
  <si>
    <r>
      <t xml:space="preserve">2. </t>
    </r>
    <r>
      <rPr>
        <b/>
        <u/>
        <sz val="10"/>
        <color theme="1"/>
        <rFont val="Arial"/>
        <family val="2"/>
      </rPr>
      <t>SOIL EMBEDMENT</t>
    </r>
    <r>
      <rPr>
        <sz val="10"/>
        <color theme="1"/>
        <rFont val="Arial"/>
        <family val="2"/>
      </rPr>
      <t xml:space="preserve"> = USE 2.2 FT FOR ALL MEMBERS.</t>
    </r>
  </si>
  <si>
    <t>1. SIGN WIDTH &lt; 10 FT. AND SIGN AREA &lt; 50 FT^2</t>
  </si>
  <si>
    <t>1. SIGN WIDTH &lt; 8 FT. AND SIGN AREA &lt; 50 FT^2</t>
  </si>
  <si>
    <t>4. THREE-POST FOR SIGN WIDTHS ≥ 6 FT. BUT &lt; 10 FT.</t>
  </si>
  <si>
    <t>FORE / BACK SLOPE =</t>
  </si>
  <si>
    <t>CUT OR FILL???</t>
  </si>
  <si>
    <t>CUT</t>
  </si>
  <si>
    <t>FILL</t>
  </si>
  <si>
    <t>3. TWO-POST FOR SIGN WIDTHS &gt; 3 FT. BUT &lt; 6 FT.</t>
  </si>
  <si>
    <t>2. ONE-POST FOR SIGN WIDTHS ≤ 3 FT. &amp; SIGN AREA &lt; 12 FT^2</t>
  </si>
  <si>
    <t>YES</t>
  </si>
  <si>
    <t>IS THE SIGN DIAMOND SHAPE?</t>
  </si>
  <si>
    <t>IF(D16="","",IF(M8+M10&lt;M7,CEILING(IF(D16=1,D9-M8*M9-M10*1/M11-1/M12*((M7-M8-M10)+(D7/2))+D8+M13,IF(D16=2,D9-M8*M9-M10*1/M11-1/M12*((M7-M8-M10)+(D7/5))+D8+M13,IF(D16=3,D9-M8*M9-M10*1/M11-1/M12*((M7-M8-M10)+(D7/6))+D8+M13))),0.25),IF(M8+M10&gt;M7,CEILING(IF(D16=1,D9-M8*M9-1/M11*((M7-M8)+(D7/2))+D8+M13,IF(D16=2,D9-M8*M9-1/M11*((M7-M8)+(D7/5))+D8+M13,IF(D16=3,D9-M8*M9-1/M11*((M7-M8)+(D7/6))+D8+M13))),0.25))))</t>
  </si>
  <si>
    <t>DELETE BELOW EQUATIONS AFTER BRIAN/DUSTIN VERIFY THIS SHEET:</t>
  </si>
  <si>
    <t>CELL L17</t>
  </si>
  <si>
    <t>INPUTS FOR DIAMOND SHAPE SIGNS</t>
  </si>
  <si>
    <t>IF(OR(D16="",D16=1),"",IF(M8+M10&lt;M7,CEILING(IF(D16=2,D9-M8*M9-M10*1/M11-1/M12*((M7-M8-M10)+(4*D7/5))+D8+M13,IF(D16=3,D9-M8*M9-M10*1/M11-1/M12*((M7-M8-M10)+(D7/2))+D8+M13)),0.25),IF(M8+M10&gt;M7,CEILING(IF(D16=2,D9-M8*M9-1/M11*((M7-M8)+(4*D7/5))+D8+M13,IF(D16=3,D9-M8*M9-1/M11*((M7-M8)+(D7/2))+D8+M13)),0.25))))</t>
  </si>
  <si>
    <t>CELL M17</t>
  </si>
  <si>
    <t>IF(D7&gt;8,"",IF(AND(D7&lt;=3,D7*D8&lt;12),1,IF(D7&gt;=6,3,2)))</t>
  </si>
  <si>
    <t>CELL D16</t>
  </si>
  <si>
    <t>V2.0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</si>
</sst>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mm/dd/yyyy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1" tint="0.34998626667073579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1" fontId="0" fillId="6" borderId="11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65" fontId="0" fillId="5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5" fontId="0" fillId="4" borderId="11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65" fontId="0" fillId="6" borderId="11" xfId="0" applyNumberFormat="1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2" fontId="0" fillId="6" borderId="11" xfId="0" applyNumberForma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5" fontId="0" fillId="7" borderId="36" xfId="0" applyNumberFormat="1" applyFill="1" applyBorder="1" applyAlignment="1">
      <alignment horizontal="center" vertical="center"/>
    </xf>
    <xf numFmtId="1" fontId="0" fillId="7" borderId="36" xfId="0" applyNumberFormat="1" applyFill="1" applyBorder="1" applyAlignment="1">
      <alignment horizontal="center" vertical="center"/>
    </xf>
    <xf numFmtId="2" fontId="0" fillId="7" borderId="36" xfId="0" applyNumberFormat="1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165" fontId="0" fillId="8" borderId="36" xfId="0" applyNumberFormat="1" applyFill="1" applyBorder="1" applyAlignment="1">
      <alignment horizontal="center" vertical="center"/>
    </xf>
    <xf numFmtId="1" fontId="0" fillId="8" borderId="36" xfId="0" applyNumberFormat="1" applyFill="1" applyBorder="1" applyAlignment="1">
      <alignment horizontal="center" vertical="center"/>
    </xf>
    <xf numFmtId="2" fontId="0" fillId="8" borderId="36" xfId="0" applyNumberForma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65" fontId="0" fillId="9" borderId="12" xfId="0" applyNumberFormat="1" applyFill="1" applyBorder="1" applyAlignment="1">
      <alignment horizontal="center" vertical="center"/>
    </xf>
    <xf numFmtId="1" fontId="0" fillId="9" borderId="12" xfId="0" applyNumberFormat="1" applyFill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165" fontId="0" fillId="8" borderId="11" xfId="0" applyNumberFormat="1" applyFill="1" applyBorder="1" applyAlignment="1">
      <alignment horizontal="center" vertical="center"/>
    </xf>
    <xf numFmtId="1" fontId="0" fillId="7" borderId="11" xfId="0" applyNumberFormat="1" applyFill="1" applyBorder="1" applyAlignment="1">
      <alignment horizontal="center" vertical="center"/>
    </xf>
    <xf numFmtId="2" fontId="0" fillId="7" borderId="11" xfId="0" applyNumberFormat="1" applyFill="1" applyBorder="1" applyAlignment="1">
      <alignment horizontal="center" vertical="center"/>
    </xf>
    <xf numFmtId="1" fontId="0" fillId="8" borderId="11" xfId="0" applyNumberFormat="1" applyFill="1" applyBorder="1" applyAlignment="1">
      <alignment horizontal="center" vertical="center"/>
    </xf>
    <xf numFmtId="2" fontId="0" fillId="8" borderId="11" xfId="0" applyNumberForma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165" fontId="0" fillId="9" borderId="11" xfId="0" applyNumberFormat="1" applyFill="1" applyBorder="1" applyAlignment="1">
      <alignment horizontal="center" vertical="center"/>
    </xf>
    <xf numFmtId="1" fontId="0" fillId="9" borderId="11" xfId="0" applyNumberFormat="1" applyFill="1" applyBorder="1" applyAlignment="1">
      <alignment horizontal="center" vertical="center"/>
    </xf>
    <xf numFmtId="2" fontId="0" fillId="9" borderId="11" xfId="0" applyNumberFormat="1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65" fontId="0" fillId="12" borderId="11" xfId="0" applyNumberFormat="1" applyFill="1" applyBorder="1" applyAlignment="1">
      <alignment horizontal="center" vertical="center"/>
    </xf>
    <xf numFmtId="1" fontId="0" fillId="12" borderId="11" xfId="0" applyNumberFormat="1" applyFill="1" applyBorder="1" applyAlignment="1">
      <alignment horizontal="center" vertical="center"/>
    </xf>
    <xf numFmtId="2" fontId="0" fillId="12" borderId="11" xfId="0" applyNumberForma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  <protection locked="0"/>
    </xf>
    <xf numFmtId="0" fontId="4" fillId="10" borderId="25" xfId="0" applyFont="1" applyFill="1" applyBorder="1" applyAlignment="1" applyProtection="1">
      <alignment horizontal="center" vertical="center" wrapText="1"/>
      <protection locked="0"/>
    </xf>
    <xf numFmtId="164" fontId="4" fillId="10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165" fontId="0" fillId="8" borderId="12" xfId="0" applyNumberFormat="1" applyFill="1" applyBorder="1" applyAlignment="1">
      <alignment horizontal="center" vertical="center"/>
    </xf>
    <xf numFmtId="1" fontId="0" fillId="4" borderId="10" xfId="0" applyNumberFormat="1" applyFill="1" applyBorder="1" applyAlignment="1">
      <alignment horizontal="center" vertical="center"/>
    </xf>
    <xf numFmtId="1" fontId="0" fillId="8" borderId="12" xfId="0" applyNumberFormat="1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8" borderId="12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7" fontId="4" fillId="10" borderId="4" xfId="0" applyNumberFormat="1" applyFont="1" applyFill="1" applyBorder="1" applyAlignment="1" applyProtection="1">
      <alignment horizontal="center" vertical="center"/>
      <protection locked="0"/>
    </xf>
    <xf numFmtId="0" fontId="4" fillId="1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/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167" fontId="4" fillId="10" borderId="26" xfId="0" applyNumberFormat="1" applyFont="1" applyFill="1" applyBorder="1" applyAlignment="1" applyProtection="1">
      <alignment horizontal="center" vertical="center"/>
      <protection locked="0"/>
    </xf>
    <xf numFmtId="0" fontId="4" fillId="10" borderId="23" xfId="0" applyFont="1" applyFill="1" applyBorder="1" applyAlignment="1" applyProtection="1">
      <alignment horizontal="center" vertical="center" wrapText="1"/>
      <protection locked="0"/>
    </xf>
    <xf numFmtId="167" fontId="4" fillId="10" borderId="2" xfId="0" applyNumberFormat="1" applyFont="1" applyFill="1" applyBorder="1" applyAlignment="1" applyProtection="1">
      <alignment horizontal="center" vertical="center"/>
      <protection locked="0"/>
    </xf>
    <xf numFmtId="0" fontId="4" fillId="10" borderId="23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7" borderId="13" xfId="0" applyFill="1" applyBorder="1" applyAlignment="1">
      <alignment horizontal="center" vertical="center"/>
    </xf>
    <xf numFmtId="165" fontId="0" fillId="7" borderId="13" xfId="0" applyNumberForma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165" fontId="0" fillId="11" borderId="11" xfId="0" applyNumberFormat="1" applyFill="1" applyBorder="1" applyAlignment="1">
      <alignment horizontal="center" vertical="center"/>
    </xf>
    <xf numFmtId="1" fontId="0" fillId="7" borderId="13" xfId="0" applyNumberFormat="1" applyFill="1" applyBorder="1" applyAlignment="1">
      <alignment horizontal="center" vertical="center"/>
    </xf>
    <xf numFmtId="2" fontId="0" fillId="7" borderId="13" xfId="0" applyNumberFormat="1" applyFill="1" applyBorder="1" applyAlignment="1">
      <alignment horizontal="center" vertical="center"/>
    </xf>
    <xf numFmtId="1" fontId="0" fillId="11" borderId="11" xfId="0" applyNumberFormat="1" applyFill="1" applyBorder="1" applyAlignment="1">
      <alignment horizontal="center" vertical="center"/>
    </xf>
    <xf numFmtId="2" fontId="0" fillId="11" borderId="11" xfId="0" applyNumberForma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Continuous" vertical="center"/>
    </xf>
    <xf numFmtId="0" fontId="1" fillId="0" borderId="27" xfId="0" applyFont="1" applyFill="1" applyBorder="1" applyAlignment="1">
      <alignment horizontal="centerContinuous" vertical="center"/>
    </xf>
    <xf numFmtId="0" fontId="0" fillId="0" borderId="27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3" xfId="0" applyFill="1" applyBorder="1" applyAlignment="1">
      <alignment horizontal="right"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5" xfId="0" applyFill="1" applyBorder="1" applyAlignment="1">
      <alignment horizontal="right" vertical="center" wrapText="1"/>
    </xf>
    <xf numFmtId="0" fontId="0" fillId="0" borderId="25" xfId="0" applyFill="1" applyBorder="1" applyAlignment="1">
      <alignment horizontal="right" vertical="center"/>
    </xf>
    <xf numFmtId="14" fontId="6" fillId="0" borderId="2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2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Continuous" vertical="center"/>
    </xf>
    <xf numFmtId="0" fontId="0" fillId="0" borderId="20" xfId="0" applyFill="1" applyBorder="1" applyAlignment="1">
      <alignment horizontal="centerContinuous" vertical="center"/>
    </xf>
    <xf numFmtId="0" fontId="0" fillId="0" borderId="3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0" xfId="0" applyFill="1" applyBorder="1" applyAlignment="1">
      <alignment horizontal="right" vertical="center" indent="1"/>
    </xf>
    <xf numFmtId="0" fontId="0" fillId="0" borderId="35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0" fillId="0" borderId="33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35" xfId="0" applyNumberFormat="1" applyFill="1" applyBorder="1" applyAlignment="1">
      <alignment vertical="center"/>
    </xf>
    <xf numFmtId="0" fontId="0" fillId="0" borderId="33" xfId="0" applyNumberForma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10" borderId="23" xfId="0" applyFont="1" applyFill="1" applyBorder="1" applyAlignment="1" applyProtection="1">
      <alignment horizontal="left" vertical="center"/>
      <protection locked="0"/>
    </xf>
    <xf numFmtId="0" fontId="4" fillId="10" borderId="25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0" fillId="0" borderId="0" xfId="0" quotePrefix="1" applyFill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4" fillId="10" borderId="0" xfId="0" applyFont="1" applyFill="1" applyBorder="1" applyAlignment="1" applyProtection="1">
      <alignment horizontal="left" vertical="center"/>
      <protection locked="0"/>
    </xf>
    <xf numFmtId="0" fontId="2" fillId="0" borderId="27" xfId="0" applyFont="1" applyFill="1" applyBorder="1" applyAlignment="1">
      <alignment horizontal="centerContinuous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0" xfId="0" quotePrefix="1" applyNumberFormat="1" applyFont="1" applyFill="1" applyBorder="1" applyAlignment="1">
      <alignment horizontal="left" vertical="center" indent="1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Continuous" vertical="center"/>
    </xf>
    <xf numFmtId="0" fontId="0" fillId="0" borderId="8" xfId="0" applyFill="1" applyBorder="1" applyAlignment="1">
      <alignment horizontal="centerContinuous" vertical="center"/>
    </xf>
    <xf numFmtId="0" fontId="0" fillId="0" borderId="9" xfId="0" applyFill="1" applyBorder="1" applyAlignment="1">
      <alignment horizontal="centerContinuous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0" fillId="0" borderId="12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vertical="top"/>
    </xf>
    <xf numFmtId="0" fontId="0" fillId="0" borderId="23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2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0" xfId="0" applyFill="1"/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/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Continuous" vertical="center"/>
    </xf>
    <xf numFmtId="0" fontId="1" fillId="0" borderId="19" xfId="0" applyFont="1" applyFill="1" applyBorder="1" applyAlignment="1">
      <alignment horizontal="centerContinuous" vertical="center"/>
    </xf>
    <xf numFmtId="0" fontId="1" fillId="0" borderId="15" xfId="0" applyFont="1" applyFill="1" applyBorder="1" applyAlignment="1">
      <alignment horizontal="centerContinuous" vertical="center"/>
    </xf>
    <xf numFmtId="0" fontId="0" fillId="0" borderId="28" xfId="0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Continuous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2" borderId="25" xfId="0" applyFont="1" applyFill="1" applyBorder="1" applyAlignment="1">
      <alignment horizontal="right" vertical="center"/>
    </xf>
    <xf numFmtId="0" fontId="4" fillId="10" borderId="25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0" fontId="0" fillId="13" borderId="6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13" borderId="21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87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7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7" tint="0.59996337778862885"/>
        </patternFill>
      </fill>
    </dxf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0000FF"/>
      <color rgb="FFCCFFFF"/>
      <color rgb="FFFFCC99"/>
      <color rgb="FFCCFFCC"/>
      <color rgb="FFFFCCCC"/>
      <color rgb="FFFFFFCC"/>
      <color rgb="FFFFCCFF"/>
      <color rgb="FFCCCC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9525</xdr:rowOff>
    </xdr:from>
    <xdr:to>
      <xdr:col>4</xdr:col>
      <xdr:colOff>285749</xdr:colOff>
      <xdr:row>6</xdr:row>
      <xdr:rowOff>142875</xdr:rowOff>
    </xdr:to>
    <xdr:sp macro="" textlink="">
      <xdr:nvSpPr>
        <xdr:cNvPr id="2" name="Flowchart: Alternate Process 1"/>
        <xdr:cNvSpPr>
          <a:spLocks noChangeArrowheads="1"/>
        </xdr:cNvSpPr>
      </xdr:nvSpPr>
      <xdr:spPr bwMode="auto">
        <a:xfrm>
          <a:off x="619124" y="512445"/>
          <a:ext cx="2105025" cy="636270"/>
        </a:xfrm>
        <a:prstGeom prst="flowChartAlternate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INPUT SITE AND SIGN DATA IN WIND PRESSURE TAB TO DETERMINE WIND PRESSURE</a:t>
          </a:r>
        </a:p>
      </xdr:txBody>
    </xdr:sp>
    <xdr:clientData/>
  </xdr:twoCellAnchor>
  <xdr:twoCellAnchor>
    <xdr:from>
      <xdr:col>5</xdr:col>
      <xdr:colOff>161925</xdr:colOff>
      <xdr:row>3</xdr:row>
      <xdr:rowOff>9524</xdr:rowOff>
    </xdr:from>
    <xdr:to>
      <xdr:col>8</xdr:col>
      <xdr:colOff>466725</xdr:colOff>
      <xdr:row>6</xdr:row>
      <xdr:rowOff>152399</xdr:rowOff>
    </xdr:to>
    <xdr:sp macro="" textlink="">
      <xdr:nvSpPr>
        <xdr:cNvPr id="3" name="Flowchart: Process 2"/>
        <xdr:cNvSpPr>
          <a:spLocks noChangeArrowheads="1"/>
        </xdr:cNvSpPr>
      </xdr:nvSpPr>
      <xdr:spPr bwMode="auto">
        <a:xfrm>
          <a:off x="3209925" y="512444"/>
          <a:ext cx="2133600" cy="64579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WIND MOMENTS WILL BE AUTOMATICALLY CALCULATED BASED ON SITE AND SIGN DATA</a:t>
          </a:r>
        </a:p>
      </xdr:txBody>
    </xdr:sp>
    <xdr:clientData/>
  </xdr:twoCellAnchor>
  <xdr:twoCellAnchor>
    <xdr:from>
      <xdr:col>5</xdr:col>
      <xdr:colOff>161925</xdr:colOff>
      <xdr:row>8</xdr:row>
      <xdr:rowOff>114300</xdr:rowOff>
    </xdr:from>
    <xdr:to>
      <xdr:col>8</xdr:col>
      <xdr:colOff>466725</xdr:colOff>
      <xdr:row>11</xdr:row>
      <xdr:rowOff>142875</xdr:rowOff>
    </xdr:to>
    <xdr:sp macro="" textlink="">
      <xdr:nvSpPr>
        <xdr:cNvPr id="4" name="Flowchart: Process 4"/>
        <xdr:cNvSpPr>
          <a:spLocks noChangeArrowheads="1"/>
        </xdr:cNvSpPr>
      </xdr:nvSpPr>
      <xdr:spPr bwMode="auto">
        <a:xfrm>
          <a:off x="3209925" y="1455420"/>
          <a:ext cx="2133600" cy="53149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START WITH U-POST TABLE TO DETERMINE U-POST MEMBER DESIGNATION</a:t>
          </a:r>
        </a:p>
      </xdr:txBody>
    </xdr:sp>
    <xdr:clientData/>
  </xdr:twoCellAnchor>
  <xdr:twoCellAnchor>
    <xdr:from>
      <xdr:col>1</xdr:col>
      <xdr:colOff>9525</xdr:colOff>
      <xdr:row>8</xdr:row>
      <xdr:rowOff>114300</xdr:rowOff>
    </xdr:from>
    <xdr:to>
      <xdr:col>4</xdr:col>
      <xdr:colOff>285750</xdr:colOff>
      <xdr:row>11</xdr:row>
      <xdr:rowOff>142875</xdr:rowOff>
    </xdr:to>
    <xdr:sp macro="" textlink="">
      <xdr:nvSpPr>
        <xdr:cNvPr id="5" name="Flowchart: Process 6"/>
        <xdr:cNvSpPr>
          <a:spLocks noChangeArrowheads="1"/>
        </xdr:cNvSpPr>
      </xdr:nvSpPr>
      <xdr:spPr bwMode="auto">
        <a:xfrm>
          <a:off x="619125" y="1455420"/>
          <a:ext cx="2105025" cy="53149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CHECK THE U-POST SELECTOR TAB TO DETERMINE IF THE DIMENSIONS AND MOMENT ARE SATISFACTORY</a:t>
          </a:r>
        </a:p>
      </xdr:txBody>
    </xdr:sp>
    <xdr:clientData/>
  </xdr:twoCellAnchor>
  <xdr:twoCellAnchor>
    <xdr:from>
      <xdr:col>4</xdr:col>
      <xdr:colOff>280035</xdr:colOff>
      <xdr:row>5</xdr:row>
      <xdr:rowOff>13335</xdr:rowOff>
    </xdr:from>
    <xdr:to>
      <xdr:col>5</xdr:col>
      <xdr:colOff>152400</xdr:colOff>
      <xdr:row>5</xdr:row>
      <xdr:rowOff>13335</xdr:rowOff>
    </xdr:to>
    <xdr:cxnSp macro="">
      <xdr:nvCxnSpPr>
        <xdr:cNvPr id="6" name="Elbow Connector 5"/>
        <xdr:cNvCxnSpPr/>
      </xdr:nvCxnSpPr>
      <xdr:spPr>
        <a:xfrm>
          <a:off x="2718435" y="851535"/>
          <a:ext cx="481965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667225</xdr:colOff>
      <xdr:row>6</xdr:row>
      <xdr:rowOff>147161</xdr:rowOff>
    </xdr:from>
    <xdr:to>
      <xdr:col>6</xdr:col>
      <xdr:colOff>667225</xdr:colOff>
      <xdr:row>8</xdr:row>
      <xdr:rowOff>112871</xdr:rowOff>
    </xdr:to>
    <xdr:cxnSp macro="">
      <xdr:nvCxnSpPr>
        <xdr:cNvPr id="7" name="Elbow Connector 6"/>
        <xdr:cNvCxnSpPr/>
      </xdr:nvCxnSpPr>
      <xdr:spPr>
        <a:xfrm>
          <a:off x="4417694" y="1361599"/>
          <a:ext cx="0" cy="34671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10</xdr:row>
      <xdr:rowOff>48895</xdr:rowOff>
    </xdr:from>
    <xdr:to>
      <xdr:col>5</xdr:col>
      <xdr:colOff>161925</xdr:colOff>
      <xdr:row>10</xdr:row>
      <xdr:rowOff>48895</xdr:rowOff>
    </xdr:to>
    <xdr:cxnSp macro="">
      <xdr:nvCxnSpPr>
        <xdr:cNvPr id="8" name="Elbow Connector 7"/>
        <xdr:cNvCxnSpPr/>
      </xdr:nvCxnSpPr>
      <xdr:spPr>
        <a:xfrm flipH="1">
          <a:off x="2724150" y="1725295"/>
          <a:ext cx="485775" cy="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13</xdr:row>
      <xdr:rowOff>114300</xdr:rowOff>
    </xdr:from>
    <xdr:to>
      <xdr:col>8</xdr:col>
      <xdr:colOff>466725</xdr:colOff>
      <xdr:row>16</xdr:row>
      <xdr:rowOff>19050</xdr:rowOff>
    </xdr:to>
    <xdr:sp macro="" textlink="">
      <xdr:nvSpPr>
        <xdr:cNvPr id="9" name="Flowchart: Process 14"/>
        <xdr:cNvSpPr>
          <a:spLocks noChangeArrowheads="1"/>
        </xdr:cNvSpPr>
      </xdr:nvSpPr>
      <xdr:spPr bwMode="auto">
        <a:xfrm>
          <a:off x="3209925" y="2293620"/>
          <a:ext cx="2133600" cy="40767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DESIGNATED U-POST</a:t>
          </a:r>
        </a:p>
      </xdr:txBody>
    </xdr:sp>
    <xdr:clientData/>
  </xdr:twoCellAnchor>
  <xdr:twoCellAnchor>
    <xdr:from>
      <xdr:col>1</xdr:col>
      <xdr:colOff>9525</xdr:colOff>
      <xdr:row>13</xdr:row>
      <xdr:rowOff>114300</xdr:rowOff>
    </xdr:from>
    <xdr:to>
      <xdr:col>4</xdr:col>
      <xdr:colOff>285750</xdr:colOff>
      <xdr:row>16</xdr:row>
      <xdr:rowOff>19050</xdr:rowOff>
    </xdr:to>
    <xdr:sp macro="" textlink="">
      <xdr:nvSpPr>
        <xdr:cNvPr id="10" name="Flowchart: Process 15"/>
        <xdr:cNvSpPr>
          <a:spLocks noChangeArrowheads="1"/>
        </xdr:cNvSpPr>
      </xdr:nvSpPr>
      <xdr:spPr bwMode="auto">
        <a:xfrm>
          <a:off x="619125" y="2293620"/>
          <a:ext cx="2105025" cy="40767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P-POST TABLE TO DETERMINE P-POST MEMBER DESIGNATION</a:t>
          </a:r>
        </a:p>
      </xdr:txBody>
    </xdr:sp>
    <xdr:clientData/>
  </xdr:twoCellAnchor>
  <xdr:twoCellAnchor>
    <xdr:from>
      <xdr:col>4</xdr:col>
      <xdr:colOff>552450</xdr:colOff>
      <xdr:row>12</xdr:row>
      <xdr:rowOff>28575</xdr:rowOff>
    </xdr:from>
    <xdr:to>
      <xdr:col>6</xdr:col>
      <xdr:colOff>638175</xdr:colOff>
      <xdr:row>13</xdr:row>
      <xdr:rowOff>76200</xdr:rowOff>
    </xdr:to>
    <xdr:sp macro="" textlink="">
      <xdr:nvSpPr>
        <xdr:cNvPr id="11" name="Text Box 16"/>
        <xdr:cNvSpPr txBox="1">
          <a:spLocks noChangeArrowheads="1"/>
        </xdr:cNvSpPr>
      </xdr:nvSpPr>
      <xdr:spPr bwMode="auto">
        <a:xfrm>
          <a:off x="2971800" y="2371725"/>
          <a:ext cx="1571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SATISFACTORY</a:t>
          </a:r>
        </a:p>
      </xdr:txBody>
    </xdr:sp>
    <xdr:clientData/>
  </xdr:twoCellAnchor>
  <xdr:twoCellAnchor>
    <xdr:from>
      <xdr:col>1</xdr:col>
      <xdr:colOff>295275</xdr:colOff>
      <xdr:row>11</xdr:row>
      <xdr:rowOff>180975</xdr:rowOff>
    </xdr:from>
    <xdr:to>
      <xdr:col>3</xdr:col>
      <xdr:colOff>142875</xdr:colOff>
      <xdr:row>13</xdr:row>
      <xdr:rowOff>38100</xdr:rowOff>
    </xdr:to>
    <xdr:sp macro="" textlink="">
      <xdr:nvSpPr>
        <xdr:cNvPr id="12" name="Text Box 17"/>
        <xdr:cNvSpPr txBox="1">
          <a:spLocks noChangeArrowheads="1"/>
        </xdr:cNvSpPr>
      </xdr:nvSpPr>
      <xdr:spPr bwMode="auto">
        <a:xfrm>
          <a:off x="485775" y="2333625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UNSATISFACTORY</a:t>
          </a:r>
        </a:p>
      </xdr:txBody>
    </xdr:sp>
    <xdr:clientData/>
  </xdr:twoCellAnchor>
  <xdr:twoCellAnchor>
    <xdr:from>
      <xdr:col>1</xdr:col>
      <xdr:colOff>9525</xdr:colOff>
      <xdr:row>17</xdr:row>
      <xdr:rowOff>180975</xdr:rowOff>
    </xdr:from>
    <xdr:to>
      <xdr:col>4</xdr:col>
      <xdr:colOff>285750</xdr:colOff>
      <xdr:row>21</xdr:row>
      <xdr:rowOff>19050</xdr:rowOff>
    </xdr:to>
    <xdr:sp macro="" textlink="">
      <xdr:nvSpPr>
        <xdr:cNvPr id="13" name="Flowchart: Process 18"/>
        <xdr:cNvSpPr>
          <a:spLocks noChangeArrowheads="1"/>
        </xdr:cNvSpPr>
      </xdr:nvSpPr>
      <xdr:spPr bwMode="auto">
        <a:xfrm>
          <a:off x="619125" y="3015615"/>
          <a:ext cx="2105025" cy="52387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CHECK THE P-POST SELECTOR TAB TO DETERMINE IF THE DIMENSIONS AND MOMENT ARE SATISFACTORY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2</xdr:col>
      <xdr:colOff>447675</xdr:colOff>
      <xdr:row>11</xdr:row>
      <xdr:rowOff>147320</xdr:rowOff>
    </xdr:from>
    <xdr:to>
      <xdr:col>2</xdr:col>
      <xdr:colOff>447675</xdr:colOff>
      <xdr:row>13</xdr:row>
      <xdr:rowOff>111760</xdr:rowOff>
    </xdr:to>
    <xdr:cxnSp macro="">
      <xdr:nvCxnSpPr>
        <xdr:cNvPr id="14" name="Elbow Connector 13"/>
        <xdr:cNvCxnSpPr/>
      </xdr:nvCxnSpPr>
      <xdr:spPr>
        <a:xfrm>
          <a:off x="1666875" y="1991360"/>
          <a:ext cx="0" cy="29972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9524</xdr:colOff>
      <xdr:row>22</xdr:row>
      <xdr:rowOff>180975</xdr:rowOff>
    </xdr:from>
    <xdr:to>
      <xdr:col>4</xdr:col>
      <xdr:colOff>285749</xdr:colOff>
      <xdr:row>25</xdr:row>
      <xdr:rowOff>85725</xdr:rowOff>
    </xdr:to>
    <xdr:sp macro="" textlink="">
      <xdr:nvSpPr>
        <xdr:cNvPr id="15" name="Flowchart: Process 24"/>
        <xdr:cNvSpPr>
          <a:spLocks noChangeArrowheads="1"/>
        </xdr:cNvSpPr>
      </xdr:nvSpPr>
      <xdr:spPr bwMode="auto">
        <a:xfrm>
          <a:off x="619124" y="3853815"/>
          <a:ext cx="2105025" cy="42291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I-BEAM TABLE TO DETERMINE I-BEAM MEMBER DESIGNATION</a:t>
          </a:r>
        </a:p>
      </xdr:txBody>
    </xdr:sp>
    <xdr:clientData/>
  </xdr:twoCellAnchor>
  <xdr:twoCellAnchor>
    <xdr:from>
      <xdr:col>5</xdr:col>
      <xdr:colOff>161925</xdr:colOff>
      <xdr:row>22</xdr:row>
      <xdr:rowOff>180975</xdr:rowOff>
    </xdr:from>
    <xdr:to>
      <xdr:col>8</xdr:col>
      <xdr:colOff>466725</xdr:colOff>
      <xdr:row>25</xdr:row>
      <xdr:rowOff>85725</xdr:rowOff>
    </xdr:to>
    <xdr:sp macro="" textlink="">
      <xdr:nvSpPr>
        <xdr:cNvPr id="16" name="Flowchart: Process 25"/>
        <xdr:cNvSpPr>
          <a:spLocks noChangeArrowheads="1"/>
        </xdr:cNvSpPr>
      </xdr:nvSpPr>
      <xdr:spPr bwMode="auto">
        <a:xfrm>
          <a:off x="3209925" y="3853815"/>
          <a:ext cx="2133600" cy="42291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DESIGNATED P-POST</a:t>
          </a:r>
        </a:p>
      </xdr:txBody>
    </xdr:sp>
    <xdr:clientData/>
  </xdr:twoCellAnchor>
  <xdr:twoCellAnchor>
    <xdr:from>
      <xdr:col>4</xdr:col>
      <xdr:colOff>533400</xdr:colOff>
      <xdr:row>21</xdr:row>
      <xdr:rowOff>57150</xdr:rowOff>
    </xdr:from>
    <xdr:to>
      <xdr:col>6</xdr:col>
      <xdr:colOff>619125</xdr:colOff>
      <xdr:row>22</xdr:row>
      <xdr:rowOff>104775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2952750" y="4114800"/>
          <a:ext cx="1571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SATISFACTORY</a:t>
          </a:r>
        </a:p>
      </xdr:txBody>
    </xdr:sp>
    <xdr:clientData/>
  </xdr:twoCellAnchor>
  <xdr:twoCellAnchor>
    <xdr:from>
      <xdr:col>1</xdr:col>
      <xdr:colOff>276225</xdr:colOff>
      <xdr:row>21</xdr:row>
      <xdr:rowOff>66675</xdr:rowOff>
    </xdr:from>
    <xdr:to>
      <xdr:col>3</xdr:col>
      <xdr:colOff>123825</xdr:colOff>
      <xdr:row>22</xdr:row>
      <xdr:rowOff>114300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466725" y="42576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UNSATISFACTORY</a:t>
          </a:r>
        </a:p>
      </xdr:txBody>
    </xdr:sp>
    <xdr:clientData/>
  </xdr:twoCellAnchor>
  <xdr:twoCellAnchor>
    <xdr:from>
      <xdr:col>2</xdr:col>
      <xdr:colOff>447675</xdr:colOff>
      <xdr:row>16</xdr:row>
      <xdr:rowOff>19050</xdr:rowOff>
    </xdr:from>
    <xdr:to>
      <xdr:col>2</xdr:col>
      <xdr:colOff>447675</xdr:colOff>
      <xdr:row>17</xdr:row>
      <xdr:rowOff>180340</xdr:rowOff>
    </xdr:to>
    <xdr:cxnSp macro="">
      <xdr:nvCxnSpPr>
        <xdr:cNvPr id="19" name="Straight Arrow Connector 18"/>
        <xdr:cNvCxnSpPr/>
      </xdr:nvCxnSpPr>
      <xdr:spPr>
        <a:xfrm>
          <a:off x="1666875" y="2701290"/>
          <a:ext cx="0" cy="3136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42</xdr:row>
      <xdr:rowOff>76200</xdr:rowOff>
    </xdr:from>
    <xdr:to>
      <xdr:col>2</xdr:col>
      <xdr:colOff>428625</xdr:colOff>
      <xdr:row>44</xdr:row>
      <xdr:rowOff>104775</xdr:rowOff>
    </xdr:to>
    <xdr:cxnSp macro="">
      <xdr:nvCxnSpPr>
        <xdr:cNvPr id="20" name="Straight Arrow Connector 19"/>
        <xdr:cNvCxnSpPr/>
      </xdr:nvCxnSpPr>
      <xdr:spPr>
        <a:xfrm>
          <a:off x="1647825" y="7117080"/>
          <a:ext cx="0" cy="3638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27</xdr:row>
      <xdr:rowOff>57150</xdr:rowOff>
    </xdr:from>
    <xdr:to>
      <xdr:col>4</xdr:col>
      <xdr:colOff>285750</xdr:colOff>
      <xdr:row>30</xdr:row>
      <xdr:rowOff>104775</xdr:rowOff>
    </xdr:to>
    <xdr:sp macro="" textlink="">
      <xdr:nvSpPr>
        <xdr:cNvPr id="21" name="Flowchart: Process 33"/>
        <xdr:cNvSpPr>
          <a:spLocks noChangeArrowheads="1"/>
        </xdr:cNvSpPr>
      </xdr:nvSpPr>
      <xdr:spPr bwMode="auto">
        <a:xfrm>
          <a:off x="619125" y="4583430"/>
          <a:ext cx="2105025" cy="55054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THE I-BEAM SELECTOR TAB TO DETERMINE IF THE DIMENSIONS AND MOMENT ARE SATISFACTORY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2</xdr:col>
      <xdr:colOff>447675</xdr:colOff>
      <xdr:row>25</xdr:row>
      <xdr:rowOff>65405</xdr:rowOff>
    </xdr:from>
    <xdr:to>
      <xdr:col>2</xdr:col>
      <xdr:colOff>447675</xdr:colOff>
      <xdr:row>27</xdr:row>
      <xdr:rowOff>38100</xdr:rowOff>
    </xdr:to>
    <xdr:cxnSp macro="">
      <xdr:nvCxnSpPr>
        <xdr:cNvPr id="22" name="Straight Arrow Connector 21"/>
        <xdr:cNvCxnSpPr/>
      </xdr:nvCxnSpPr>
      <xdr:spPr>
        <a:xfrm>
          <a:off x="1666875" y="4256405"/>
          <a:ext cx="0" cy="307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32</xdr:row>
      <xdr:rowOff>142875</xdr:rowOff>
    </xdr:from>
    <xdr:to>
      <xdr:col>4</xdr:col>
      <xdr:colOff>285750</xdr:colOff>
      <xdr:row>36</xdr:row>
      <xdr:rowOff>85725</xdr:rowOff>
    </xdr:to>
    <xdr:sp macro="" textlink="">
      <xdr:nvSpPr>
        <xdr:cNvPr id="23" name="Flowchart: Process 35"/>
        <xdr:cNvSpPr>
          <a:spLocks noChangeArrowheads="1"/>
        </xdr:cNvSpPr>
      </xdr:nvSpPr>
      <xdr:spPr bwMode="auto">
        <a:xfrm>
          <a:off x="619125" y="5507355"/>
          <a:ext cx="2105025" cy="61341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WF-BEAM TABLE TO DETERMINE WF-BEAM MEMBER DESIGNATION</a:t>
          </a:r>
        </a:p>
      </xdr:txBody>
    </xdr:sp>
    <xdr:clientData/>
  </xdr:twoCellAnchor>
  <xdr:twoCellAnchor>
    <xdr:from>
      <xdr:col>2</xdr:col>
      <xdr:colOff>428625</xdr:colOff>
      <xdr:row>36</xdr:row>
      <xdr:rowOff>76200</xdr:rowOff>
    </xdr:from>
    <xdr:to>
      <xdr:col>2</xdr:col>
      <xdr:colOff>428625</xdr:colOff>
      <xdr:row>38</xdr:row>
      <xdr:rowOff>114300</xdr:rowOff>
    </xdr:to>
    <xdr:cxnSp macro="">
      <xdr:nvCxnSpPr>
        <xdr:cNvPr id="24" name="Straight Arrow Connector 23"/>
        <xdr:cNvCxnSpPr/>
      </xdr:nvCxnSpPr>
      <xdr:spPr>
        <a:xfrm>
          <a:off x="1647825" y="6111240"/>
          <a:ext cx="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32</xdr:row>
      <xdr:rowOff>142875</xdr:rowOff>
    </xdr:from>
    <xdr:to>
      <xdr:col>8</xdr:col>
      <xdr:colOff>466725</xdr:colOff>
      <xdr:row>36</xdr:row>
      <xdr:rowOff>85725</xdr:rowOff>
    </xdr:to>
    <xdr:sp macro="" textlink="">
      <xdr:nvSpPr>
        <xdr:cNvPr id="25" name="Flowchart: Process 38"/>
        <xdr:cNvSpPr>
          <a:spLocks noChangeArrowheads="1"/>
        </xdr:cNvSpPr>
      </xdr:nvSpPr>
      <xdr:spPr bwMode="auto">
        <a:xfrm>
          <a:off x="3209925" y="5507355"/>
          <a:ext cx="2133600" cy="61341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DESIGNATED I-BEAM</a:t>
          </a:r>
        </a:p>
      </xdr:txBody>
    </xdr:sp>
    <xdr:clientData/>
  </xdr:twoCellAnchor>
  <xdr:twoCellAnchor>
    <xdr:from>
      <xdr:col>4</xdr:col>
      <xdr:colOff>561975</xdr:colOff>
      <xdr:row>30</xdr:row>
      <xdr:rowOff>180975</xdr:rowOff>
    </xdr:from>
    <xdr:to>
      <xdr:col>6</xdr:col>
      <xdr:colOff>647700</xdr:colOff>
      <xdr:row>32</xdr:row>
      <xdr:rowOff>95250</xdr:rowOff>
    </xdr:to>
    <xdr:sp macro="" textlink="">
      <xdr:nvSpPr>
        <xdr:cNvPr id="26" name="Text Box 39"/>
        <xdr:cNvSpPr txBox="1">
          <a:spLocks noChangeArrowheads="1"/>
        </xdr:cNvSpPr>
      </xdr:nvSpPr>
      <xdr:spPr bwMode="auto">
        <a:xfrm>
          <a:off x="2981325" y="5953125"/>
          <a:ext cx="1571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SATISFACTORY</a:t>
          </a:r>
        </a:p>
      </xdr:txBody>
    </xdr:sp>
    <xdr:clientData/>
  </xdr:twoCellAnchor>
  <xdr:twoCellAnchor>
    <xdr:from>
      <xdr:col>1</xdr:col>
      <xdr:colOff>304800</xdr:colOff>
      <xdr:row>30</xdr:row>
      <xdr:rowOff>180975</xdr:rowOff>
    </xdr:from>
    <xdr:to>
      <xdr:col>3</xdr:col>
      <xdr:colOff>152400</xdr:colOff>
      <xdr:row>32</xdr:row>
      <xdr:rowOff>66675</xdr:rowOff>
    </xdr:to>
    <xdr:sp macro="" textlink="">
      <xdr:nvSpPr>
        <xdr:cNvPr id="27" name="Text Box 40"/>
        <xdr:cNvSpPr txBox="1">
          <a:spLocks noChangeArrowheads="1"/>
        </xdr:cNvSpPr>
      </xdr:nvSpPr>
      <xdr:spPr bwMode="auto">
        <a:xfrm>
          <a:off x="495300" y="5953125"/>
          <a:ext cx="13335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UNSATISFACTORY</a:t>
          </a:r>
        </a:p>
      </xdr:txBody>
    </xdr:sp>
    <xdr:clientData/>
  </xdr:twoCellAnchor>
  <xdr:twoCellAnchor>
    <xdr:from>
      <xdr:col>1</xdr:col>
      <xdr:colOff>0</xdr:colOff>
      <xdr:row>38</xdr:row>
      <xdr:rowOff>123825</xdr:rowOff>
    </xdr:from>
    <xdr:to>
      <xdr:col>4</xdr:col>
      <xdr:colOff>285750</xdr:colOff>
      <xdr:row>42</xdr:row>
      <xdr:rowOff>66675</xdr:rowOff>
    </xdr:to>
    <xdr:sp macro="" textlink="">
      <xdr:nvSpPr>
        <xdr:cNvPr id="28" name="Flowchart: Process 41"/>
        <xdr:cNvSpPr>
          <a:spLocks noChangeArrowheads="1"/>
        </xdr:cNvSpPr>
      </xdr:nvSpPr>
      <xdr:spPr bwMode="auto">
        <a:xfrm>
          <a:off x="609600" y="6494145"/>
          <a:ext cx="2114550" cy="613410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THE WF-BEAM SELECTOR TAB TO DETERMINE IF THE DIMENSIONS AND MOMENT ARE SATISFACTORY</a:t>
          </a: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2</xdr:col>
      <xdr:colOff>438150</xdr:colOff>
      <xdr:row>21</xdr:row>
      <xdr:rowOff>2540</xdr:rowOff>
    </xdr:from>
    <xdr:to>
      <xdr:col>2</xdr:col>
      <xdr:colOff>438150</xdr:colOff>
      <xdr:row>22</xdr:row>
      <xdr:rowOff>171450</xdr:rowOff>
    </xdr:to>
    <xdr:cxnSp macro="">
      <xdr:nvCxnSpPr>
        <xdr:cNvPr id="29" name="Straight Arrow Connector 28"/>
        <xdr:cNvCxnSpPr/>
      </xdr:nvCxnSpPr>
      <xdr:spPr>
        <a:xfrm>
          <a:off x="1657350" y="3522980"/>
          <a:ext cx="0" cy="3289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19049</xdr:colOff>
      <xdr:row>44</xdr:row>
      <xdr:rowOff>104775</xdr:rowOff>
    </xdr:from>
    <xdr:to>
      <xdr:col>4</xdr:col>
      <xdr:colOff>295274</xdr:colOff>
      <xdr:row>47</xdr:row>
      <xdr:rowOff>209550</xdr:rowOff>
    </xdr:to>
    <xdr:sp macro="" textlink="">
      <xdr:nvSpPr>
        <xdr:cNvPr id="30" name="Flowchart: Terminator 44"/>
        <xdr:cNvSpPr>
          <a:spLocks noChangeArrowheads="1"/>
        </xdr:cNvSpPr>
      </xdr:nvSpPr>
      <xdr:spPr bwMode="auto">
        <a:xfrm>
          <a:off x="628649" y="7480935"/>
          <a:ext cx="2105025" cy="561975"/>
        </a:xfrm>
        <a:prstGeom prst="flowChartTerminator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SIGN IS NOT SATISFACTORY</a:t>
          </a:r>
        </a:p>
      </xdr:txBody>
    </xdr:sp>
    <xdr:clientData/>
  </xdr:twoCellAnchor>
  <xdr:twoCellAnchor>
    <xdr:from>
      <xdr:col>5</xdr:col>
      <xdr:colOff>161925</xdr:colOff>
      <xdr:row>44</xdr:row>
      <xdr:rowOff>104775</xdr:rowOff>
    </xdr:from>
    <xdr:to>
      <xdr:col>8</xdr:col>
      <xdr:colOff>466725</xdr:colOff>
      <xdr:row>47</xdr:row>
      <xdr:rowOff>209550</xdr:rowOff>
    </xdr:to>
    <xdr:sp macro="" textlink="">
      <xdr:nvSpPr>
        <xdr:cNvPr id="31" name="Flowchart: Process 45"/>
        <xdr:cNvSpPr>
          <a:spLocks noChangeArrowheads="1"/>
        </xdr:cNvSpPr>
      </xdr:nvSpPr>
      <xdr:spPr bwMode="auto">
        <a:xfrm>
          <a:off x="3209925" y="7480935"/>
          <a:ext cx="2133600" cy="561975"/>
        </a:xfrm>
        <a:prstGeom prst="flowChartProcess">
          <a:avLst/>
        </a:prstGeom>
        <a:solidFill>
          <a:srgbClr val="5B9BD5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USE DESIGNATED WF-BEAM</a:t>
          </a:r>
        </a:p>
      </xdr:txBody>
    </xdr:sp>
    <xdr:clientData/>
  </xdr:twoCellAnchor>
  <xdr:twoCellAnchor>
    <xdr:from>
      <xdr:col>2</xdr:col>
      <xdr:colOff>438150</xdr:colOff>
      <xdr:row>30</xdr:row>
      <xdr:rowOff>95250</xdr:rowOff>
    </xdr:from>
    <xdr:to>
      <xdr:col>2</xdr:col>
      <xdr:colOff>438150</xdr:colOff>
      <xdr:row>32</xdr:row>
      <xdr:rowOff>133350</xdr:rowOff>
    </xdr:to>
    <xdr:cxnSp macro="">
      <xdr:nvCxnSpPr>
        <xdr:cNvPr id="32" name="Straight Arrow Connector 31"/>
        <xdr:cNvCxnSpPr/>
      </xdr:nvCxnSpPr>
      <xdr:spPr>
        <a:xfrm>
          <a:off x="1657350" y="5124450"/>
          <a:ext cx="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42</xdr:row>
      <xdr:rowOff>142875</xdr:rowOff>
    </xdr:from>
    <xdr:to>
      <xdr:col>6</xdr:col>
      <xdr:colOff>658495</xdr:colOff>
      <xdr:row>44</xdr:row>
      <xdr:rowOff>56515</xdr:rowOff>
    </xdr:to>
    <xdr:sp macro="" textlink="">
      <xdr:nvSpPr>
        <xdr:cNvPr id="33" name="Text Box 48"/>
        <xdr:cNvSpPr txBox="1"/>
      </xdr:nvSpPr>
      <xdr:spPr>
        <a:xfrm>
          <a:off x="2990850" y="8201025"/>
          <a:ext cx="1572895" cy="29464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SATISFACTORY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295275</xdr:colOff>
      <xdr:row>42</xdr:row>
      <xdr:rowOff>161925</xdr:rowOff>
    </xdr:from>
    <xdr:to>
      <xdr:col>3</xdr:col>
      <xdr:colOff>144780</xdr:colOff>
      <xdr:row>44</xdr:row>
      <xdr:rowOff>75565</xdr:rowOff>
    </xdr:to>
    <xdr:sp macro="" textlink="">
      <xdr:nvSpPr>
        <xdr:cNvPr id="34" name="Text Box 49"/>
        <xdr:cNvSpPr txBox="1"/>
      </xdr:nvSpPr>
      <xdr:spPr>
        <a:xfrm>
          <a:off x="485775" y="8220075"/>
          <a:ext cx="1335405" cy="29464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UNSATISFACTORY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295275</xdr:colOff>
      <xdr:row>11</xdr:row>
      <xdr:rowOff>28575</xdr:rowOff>
    </xdr:from>
    <xdr:to>
      <xdr:col>5</xdr:col>
      <xdr:colOff>153670</xdr:colOff>
      <xdr:row>14</xdr:row>
      <xdr:rowOff>169545</xdr:rowOff>
    </xdr:to>
    <xdr:cxnSp macro="">
      <xdr:nvCxnSpPr>
        <xdr:cNvPr id="35" name="Elbow Connector 34"/>
        <xdr:cNvCxnSpPr/>
      </xdr:nvCxnSpPr>
      <xdr:spPr>
        <a:xfrm>
          <a:off x="2733675" y="1872615"/>
          <a:ext cx="467995" cy="64389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20</xdr:row>
      <xdr:rowOff>104775</xdr:rowOff>
    </xdr:from>
    <xdr:to>
      <xdr:col>5</xdr:col>
      <xdr:colOff>144145</xdr:colOff>
      <xdr:row>24</xdr:row>
      <xdr:rowOff>55245</xdr:rowOff>
    </xdr:to>
    <xdr:cxnSp macro="">
      <xdr:nvCxnSpPr>
        <xdr:cNvPr id="36" name="Elbow Connector 35"/>
        <xdr:cNvCxnSpPr/>
      </xdr:nvCxnSpPr>
      <xdr:spPr>
        <a:xfrm>
          <a:off x="2724150" y="3457575"/>
          <a:ext cx="467995" cy="62103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29</xdr:row>
      <xdr:rowOff>152400</xdr:rowOff>
    </xdr:from>
    <xdr:to>
      <xdr:col>5</xdr:col>
      <xdr:colOff>149225</xdr:colOff>
      <xdr:row>35</xdr:row>
      <xdr:rowOff>12065</xdr:rowOff>
    </xdr:to>
    <xdr:cxnSp macro="">
      <xdr:nvCxnSpPr>
        <xdr:cNvPr id="37" name="Elbow Connector 36"/>
        <xdr:cNvCxnSpPr/>
      </xdr:nvCxnSpPr>
      <xdr:spPr>
        <a:xfrm>
          <a:off x="2733675" y="5013960"/>
          <a:ext cx="463550" cy="86550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41</xdr:row>
      <xdr:rowOff>123825</xdr:rowOff>
    </xdr:from>
    <xdr:to>
      <xdr:col>5</xdr:col>
      <xdr:colOff>144780</xdr:colOff>
      <xdr:row>46</xdr:row>
      <xdr:rowOff>145415</xdr:rowOff>
    </xdr:to>
    <xdr:cxnSp macro="">
      <xdr:nvCxnSpPr>
        <xdr:cNvPr id="38" name="Elbow Connector 37"/>
        <xdr:cNvCxnSpPr/>
      </xdr:nvCxnSpPr>
      <xdr:spPr>
        <a:xfrm>
          <a:off x="2733675" y="6997065"/>
          <a:ext cx="459105" cy="85979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660401</xdr:colOff>
      <xdr:row>38</xdr:row>
      <xdr:rowOff>19050</xdr:rowOff>
    </xdr:from>
    <xdr:to>
      <xdr:col>13</xdr:col>
      <xdr:colOff>152401</xdr:colOff>
      <xdr:row>43</xdr:row>
      <xdr:rowOff>107950</xdr:rowOff>
    </xdr:to>
    <xdr:sp macro="" textlink="">
      <xdr:nvSpPr>
        <xdr:cNvPr id="2" name="Isosceles Triangle 1"/>
        <xdr:cNvSpPr/>
      </xdr:nvSpPr>
      <xdr:spPr>
        <a:xfrm>
          <a:off x="8884558" y="7448550"/>
          <a:ext cx="1712686" cy="10414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661059</xdr:colOff>
      <xdr:row>43</xdr:row>
      <xdr:rowOff>118753</xdr:rowOff>
    </xdr:from>
    <xdr:to>
      <xdr:col>13</xdr:col>
      <xdr:colOff>152398</xdr:colOff>
      <xdr:row>49</xdr:row>
      <xdr:rowOff>14124</xdr:rowOff>
    </xdr:to>
    <xdr:sp macro="" textlink="">
      <xdr:nvSpPr>
        <xdr:cNvPr id="3" name="Isosceles Triangle 2"/>
        <xdr:cNvSpPr/>
      </xdr:nvSpPr>
      <xdr:spPr>
        <a:xfrm rot="10800000">
          <a:off x="8866908" y="8480961"/>
          <a:ext cx="1706087" cy="1035402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661059</xdr:colOff>
      <xdr:row>43</xdr:row>
      <xdr:rowOff>118753</xdr:rowOff>
    </xdr:from>
    <xdr:to>
      <xdr:col>13</xdr:col>
      <xdr:colOff>152398</xdr:colOff>
      <xdr:row>43</xdr:row>
      <xdr:rowOff>118753</xdr:rowOff>
    </xdr:to>
    <xdr:cxnSp macro="">
      <xdr:nvCxnSpPr>
        <xdr:cNvPr id="5" name="Straight Arrow Connector 4"/>
        <xdr:cNvCxnSpPr>
          <a:stCxn id="3" idx="4"/>
          <a:endCxn id="3" idx="2"/>
        </xdr:cNvCxnSpPr>
      </xdr:nvCxnSpPr>
      <xdr:spPr>
        <a:xfrm>
          <a:off x="8866908" y="8480961"/>
          <a:ext cx="1706087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723906</xdr:colOff>
      <xdr:row>43</xdr:row>
      <xdr:rowOff>57150</xdr:rowOff>
    </xdr:from>
    <xdr:to>
      <xdr:col>13</xdr:col>
      <xdr:colOff>142881</xdr:colOff>
      <xdr:row>44</xdr:row>
      <xdr:rowOff>142876</xdr:rowOff>
    </xdr:to>
    <xdr:sp macro="" textlink="">
      <xdr:nvSpPr>
        <xdr:cNvPr id="7" name="TextBox 6"/>
        <xdr:cNvSpPr txBox="1"/>
      </xdr:nvSpPr>
      <xdr:spPr>
        <a:xfrm>
          <a:off x="9688292" y="8439150"/>
          <a:ext cx="899432" cy="276226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SIGN WIDTH</a:t>
          </a:r>
        </a:p>
      </xdr:txBody>
    </xdr:sp>
    <xdr:clientData/>
  </xdr:twoCellAnchor>
  <xdr:twoCellAnchor>
    <xdr:from>
      <xdr:col>12</xdr:col>
      <xdr:colOff>37603</xdr:colOff>
      <xdr:row>38</xdr:row>
      <xdr:rowOff>28575</xdr:rowOff>
    </xdr:from>
    <xdr:to>
      <xdr:col>12</xdr:col>
      <xdr:colOff>42863</xdr:colOff>
      <xdr:row>49</xdr:row>
      <xdr:rowOff>14124</xdr:rowOff>
    </xdr:to>
    <xdr:cxnSp macro="">
      <xdr:nvCxnSpPr>
        <xdr:cNvPr id="8" name="Straight Arrow Connector 7"/>
        <xdr:cNvCxnSpPr>
          <a:stCxn id="3" idx="0"/>
        </xdr:cNvCxnSpPr>
      </xdr:nvCxnSpPr>
      <xdr:spPr>
        <a:xfrm flipV="1">
          <a:off x="9719951" y="7440757"/>
          <a:ext cx="5260" cy="2075606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577622</xdr:colOff>
      <xdr:row>38</xdr:row>
      <xdr:rowOff>132670</xdr:rowOff>
    </xdr:from>
    <xdr:to>
      <xdr:col>12</xdr:col>
      <xdr:colOff>113620</xdr:colOff>
      <xdr:row>43</xdr:row>
      <xdr:rowOff>127228</xdr:rowOff>
    </xdr:to>
    <xdr:sp macro="" textlink="">
      <xdr:nvSpPr>
        <xdr:cNvPr id="19" name="TextBox 18"/>
        <xdr:cNvSpPr txBox="1"/>
      </xdr:nvSpPr>
      <xdr:spPr>
        <a:xfrm rot="16200000">
          <a:off x="9206592" y="7897586"/>
          <a:ext cx="947058" cy="276226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SIGN HEIGHT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M50"/>
  <sheetViews>
    <sheetView showGridLines="0" zoomScale="80" zoomScaleNormal="80" workbookViewId="0"/>
  </sheetViews>
  <sheetFormatPr defaultColWidth="8.6640625" defaultRowHeight="15" customHeight="1" x14ac:dyDescent="0.25"/>
  <cols>
    <col min="1" max="1" width="2.77734375" style="218" customWidth="1"/>
    <col min="2" max="8" width="10.6640625" style="218" customWidth="1"/>
    <col min="9" max="9" width="6.6640625" style="218" customWidth="1"/>
    <col min="10" max="10" width="2.77734375" style="218" customWidth="1"/>
    <col min="11" max="16384" width="8.6640625" style="218"/>
  </cols>
  <sheetData>
    <row r="1" spans="1:13" ht="15" customHeight="1" thickBot="1" x14ac:dyDescent="0.3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3" ht="30" customHeight="1" thickBot="1" x14ac:dyDescent="0.3">
      <c r="A2" s="65"/>
      <c r="B2" s="83" t="s">
        <v>248</v>
      </c>
      <c r="C2" s="158"/>
      <c r="D2" s="85"/>
      <c r="E2" s="85"/>
      <c r="F2" s="85"/>
      <c r="G2" s="85"/>
      <c r="H2" s="85"/>
      <c r="I2" s="86" t="s">
        <v>325</v>
      </c>
      <c r="J2" s="65"/>
    </row>
    <row r="3" spans="1:13" ht="1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3" ht="15" customHeight="1" x14ac:dyDescent="0.25">
      <c r="A4" s="256"/>
      <c r="J4" s="257"/>
      <c r="L4" s="219" t="s">
        <v>125</v>
      </c>
      <c r="M4" s="220" t="s">
        <v>276</v>
      </c>
    </row>
    <row r="5" spans="1:13" ht="15" customHeight="1" x14ac:dyDescent="0.25">
      <c r="A5" s="256"/>
      <c r="J5" s="257"/>
      <c r="M5" s="221" t="s">
        <v>277</v>
      </c>
    </row>
    <row r="6" spans="1:13" ht="15" customHeight="1" x14ac:dyDescent="0.25">
      <c r="A6" s="256"/>
      <c r="J6" s="257"/>
    </row>
    <row r="7" spans="1:13" ht="15" customHeight="1" x14ac:dyDescent="0.25">
      <c r="A7" s="256"/>
      <c r="J7" s="257"/>
    </row>
    <row r="8" spans="1:13" ht="15" customHeight="1" x14ac:dyDescent="0.25">
      <c r="A8" s="256"/>
      <c r="J8" s="257"/>
    </row>
    <row r="9" spans="1:13" ht="15" customHeight="1" x14ac:dyDescent="0.25">
      <c r="A9" s="256"/>
      <c r="J9" s="257"/>
    </row>
    <row r="10" spans="1:13" ht="15" customHeight="1" x14ac:dyDescent="0.25">
      <c r="A10" s="256"/>
      <c r="J10" s="257"/>
    </row>
    <row r="11" spans="1:13" ht="15" customHeight="1" x14ac:dyDescent="0.25">
      <c r="A11" s="256"/>
      <c r="J11" s="257"/>
    </row>
    <row r="12" spans="1:13" ht="15" customHeight="1" x14ac:dyDescent="0.25">
      <c r="A12" s="256"/>
      <c r="J12" s="257"/>
    </row>
    <row r="13" spans="1:13" ht="15" customHeight="1" x14ac:dyDescent="0.25">
      <c r="A13" s="256"/>
      <c r="J13" s="257"/>
    </row>
    <row r="14" spans="1:13" ht="15" customHeight="1" x14ac:dyDescent="0.25">
      <c r="A14" s="256"/>
      <c r="J14" s="257"/>
    </row>
    <row r="15" spans="1:13" ht="15" customHeight="1" x14ac:dyDescent="0.25">
      <c r="A15" s="256"/>
      <c r="J15" s="257"/>
    </row>
    <row r="16" spans="1:13" ht="15" customHeight="1" x14ac:dyDescent="0.25">
      <c r="A16" s="256"/>
      <c r="J16" s="257"/>
    </row>
    <row r="17" spans="1:10" ht="15" customHeight="1" x14ac:dyDescent="0.25">
      <c r="A17" s="256"/>
      <c r="J17" s="257"/>
    </row>
    <row r="18" spans="1:10" ht="15" customHeight="1" x14ac:dyDescent="0.25">
      <c r="A18" s="256"/>
      <c r="J18" s="257"/>
    </row>
    <row r="19" spans="1:10" ht="15" customHeight="1" x14ac:dyDescent="0.25">
      <c r="A19" s="256"/>
      <c r="J19" s="257"/>
    </row>
    <row r="20" spans="1:10" ht="15" customHeight="1" x14ac:dyDescent="0.25">
      <c r="A20" s="256"/>
      <c r="J20" s="257"/>
    </row>
    <row r="21" spans="1:10" ht="15" customHeight="1" x14ac:dyDescent="0.25">
      <c r="A21" s="256"/>
      <c r="J21" s="257"/>
    </row>
    <row r="22" spans="1:10" ht="15" customHeight="1" x14ac:dyDescent="0.25">
      <c r="A22" s="256"/>
      <c r="J22" s="257"/>
    </row>
    <row r="23" spans="1:10" ht="15" customHeight="1" x14ac:dyDescent="0.25">
      <c r="A23" s="256"/>
      <c r="J23" s="257"/>
    </row>
    <row r="24" spans="1:10" ht="15" customHeight="1" x14ac:dyDescent="0.25">
      <c r="A24" s="256"/>
      <c r="J24" s="257"/>
    </row>
    <row r="25" spans="1:10" ht="15" customHeight="1" x14ac:dyDescent="0.25">
      <c r="A25" s="256"/>
      <c r="J25" s="257"/>
    </row>
    <row r="26" spans="1:10" ht="15" customHeight="1" x14ac:dyDescent="0.25">
      <c r="A26" s="256"/>
      <c r="J26" s="257"/>
    </row>
    <row r="27" spans="1:10" ht="15" customHeight="1" x14ac:dyDescent="0.25">
      <c r="A27" s="256"/>
      <c r="J27" s="257"/>
    </row>
    <row r="28" spans="1:10" ht="15" customHeight="1" x14ac:dyDescent="0.25">
      <c r="A28" s="256"/>
      <c r="J28" s="257"/>
    </row>
    <row r="29" spans="1:10" ht="15" customHeight="1" x14ac:dyDescent="0.25">
      <c r="A29" s="256"/>
      <c r="J29" s="257"/>
    </row>
    <row r="30" spans="1:10" ht="15" customHeight="1" x14ac:dyDescent="0.25">
      <c r="A30" s="256"/>
      <c r="J30" s="257"/>
    </row>
    <row r="31" spans="1:10" ht="15" customHeight="1" x14ac:dyDescent="0.25">
      <c r="A31" s="256"/>
      <c r="J31" s="257"/>
    </row>
    <row r="32" spans="1:10" ht="15" customHeight="1" x14ac:dyDescent="0.25">
      <c r="A32" s="256"/>
      <c r="J32" s="257"/>
    </row>
    <row r="33" spans="1:10" ht="15" customHeight="1" x14ac:dyDescent="0.25">
      <c r="A33" s="256"/>
      <c r="J33" s="257"/>
    </row>
    <row r="34" spans="1:10" ht="15" customHeight="1" x14ac:dyDescent="0.25">
      <c r="A34" s="256"/>
      <c r="J34" s="257"/>
    </row>
    <row r="35" spans="1:10" ht="15" customHeight="1" x14ac:dyDescent="0.25">
      <c r="A35" s="256"/>
      <c r="J35" s="257"/>
    </row>
    <row r="36" spans="1:10" ht="15" customHeight="1" x14ac:dyDescent="0.25">
      <c r="A36" s="256"/>
      <c r="J36" s="257"/>
    </row>
    <row r="37" spans="1:10" ht="15" customHeight="1" x14ac:dyDescent="0.25">
      <c r="A37" s="256"/>
      <c r="J37" s="257"/>
    </row>
    <row r="38" spans="1:10" ht="15" customHeight="1" x14ac:dyDescent="0.25">
      <c r="A38" s="256"/>
      <c r="J38" s="257"/>
    </row>
    <row r="39" spans="1:10" ht="15" customHeight="1" x14ac:dyDescent="0.25">
      <c r="A39" s="256"/>
      <c r="J39" s="257"/>
    </row>
    <row r="40" spans="1:10" ht="15" customHeight="1" x14ac:dyDescent="0.25">
      <c r="A40" s="256"/>
      <c r="J40" s="257"/>
    </row>
    <row r="41" spans="1:10" ht="15" customHeight="1" x14ac:dyDescent="0.25">
      <c r="A41" s="256"/>
      <c r="J41" s="257"/>
    </row>
    <row r="42" spans="1:10" ht="15" customHeight="1" x14ac:dyDescent="0.25">
      <c r="A42" s="256"/>
      <c r="J42" s="257"/>
    </row>
    <row r="43" spans="1:10" ht="15" customHeight="1" x14ac:dyDescent="0.25">
      <c r="A43" s="256"/>
      <c r="J43" s="257"/>
    </row>
    <row r="44" spans="1:10" ht="15" customHeight="1" x14ac:dyDescent="0.25">
      <c r="A44" s="256"/>
      <c r="J44" s="257"/>
    </row>
    <row r="45" spans="1:10" ht="15" customHeight="1" x14ac:dyDescent="0.25">
      <c r="A45" s="256"/>
      <c r="J45" s="257"/>
    </row>
    <row r="46" spans="1:10" ht="15" customHeight="1" x14ac:dyDescent="0.25">
      <c r="A46" s="256"/>
      <c r="J46" s="257"/>
    </row>
    <row r="47" spans="1:10" ht="15" customHeight="1" x14ac:dyDescent="0.25">
      <c r="A47" s="256"/>
      <c r="J47" s="257"/>
    </row>
    <row r="48" spans="1:10" ht="15" customHeight="1" x14ac:dyDescent="0.25">
      <c r="A48" s="256"/>
      <c r="J48" s="257"/>
    </row>
    <row r="49" spans="1:10" ht="15" customHeight="1" x14ac:dyDescent="0.25">
      <c r="A49" s="222"/>
      <c r="J49" s="223"/>
    </row>
    <row r="50" spans="1:10" ht="15" customHeight="1" x14ac:dyDescent="0.25">
      <c r="A50" s="224"/>
      <c r="B50" s="224"/>
      <c r="C50" s="224"/>
      <c r="D50" s="224"/>
      <c r="E50" s="224"/>
      <c r="F50" s="224"/>
      <c r="G50" s="224"/>
      <c r="H50" s="224"/>
      <c r="I50" s="224"/>
      <c r="J50" s="224"/>
    </row>
  </sheetData>
  <sheetProtection sheet="1" objects="1" scenarios="1"/>
  <mergeCells count="2">
    <mergeCell ref="A4:A48"/>
    <mergeCell ref="J4:J4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1:X50"/>
  <sheetViews>
    <sheetView showGridLines="0" tabSelected="1" zoomScale="80" zoomScaleNormal="80" workbookViewId="0"/>
  </sheetViews>
  <sheetFormatPr defaultColWidth="8.6640625" defaultRowHeight="15" customHeight="1" x14ac:dyDescent="0.25"/>
  <cols>
    <col min="1" max="1" width="2.77734375" style="62" customWidth="1"/>
    <col min="2" max="2" width="30.77734375" style="62" customWidth="1"/>
    <col min="3" max="14" width="10.77734375" style="62" customWidth="1"/>
    <col min="15" max="15" width="2.77734375" style="62" customWidth="1"/>
    <col min="16" max="17" width="8.6640625" style="62" customWidth="1"/>
    <col min="18" max="18" width="24.6640625" style="62" customWidth="1"/>
    <col min="19" max="21" width="12.6640625" style="62" customWidth="1"/>
    <col min="22" max="24" width="8.6640625" style="62" customWidth="1"/>
    <col min="25" max="16384" width="8.6640625" style="62"/>
  </cols>
  <sheetData>
    <row r="1" spans="2:21" ht="15" customHeight="1" thickBot="1" x14ac:dyDescent="0.3"/>
    <row r="2" spans="2:21" ht="30" customHeight="1" thickBot="1" x14ac:dyDescent="0.3">
      <c r="B2" s="83" t="s">
        <v>1</v>
      </c>
      <c r="C2" s="158"/>
      <c r="D2" s="85"/>
      <c r="E2" s="85"/>
      <c r="F2" s="85"/>
      <c r="G2" s="85"/>
      <c r="H2" s="85"/>
      <c r="I2" s="85"/>
      <c r="J2" s="85"/>
      <c r="K2" s="85"/>
      <c r="L2" s="85"/>
      <c r="M2" s="85"/>
      <c r="N2" s="86" t="s">
        <v>325</v>
      </c>
      <c r="P2" s="148" t="s">
        <v>29</v>
      </c>
      <c r="Q2" s="50" t="s">
        <v>18</v>
      </c>
    </row>
    <row r="3" spans="2:21" ht="15" customHeight="1" x14ac:dyDescent="0.25">
      <c r="B3" s="87"/>
      <c r="C3" s="159"/>
      <c r="D3" s="88"/>
      <c r="E3" s="88"/>
      <c r="F3" s="88"/>
      <c r="G3" s="88"/>
      <c r="H3" s="88"/>
      <c r="I3" s="88"/>
      <c r="J3" s="88"/>
      <c r="K3" s="89" t="s">
        <v>65</v>
      </c>
      <c r="L3" s="71" t="s">
        <v>273</v>
      </c>
      <c r="M3" s="160" t="s">
        <v>64</v>
      </c>
      <c r="N3" s="70" t="s">
        <v>274</v>
      </c>
    </row>
    <row r="4" spans="2:21" ht="15" customHeight="1" x14ac:dyDescent="0.25">
      <c r="B4" s="91"/>
      <c r="C4" s="102"/>
      <c r="D4" s="92"/>
      <c r="E4" s="92"/>
      <c r="F4" s="92"/>
      <c r="G4" s="92"/>
      <c r="H4" s="92"/>
      <c r="I4" s="92"/>
      <c r="J4" s="92"/>
      <c r="K4" s="94" t="s">
        <v>119</v>
      </c>
      <c r="L4" s="52" t="s">
        <v>273</v>
      </c>
      <c r="M4" s="161" t="s">
        <v>64</v>
      </c>
      <c r="N4" s="68" t="s">
        <v>274</v>
      </c>
    </row>
    <row r="5" spans="2:21" ht="15" customHeight="1" x14ac:dyDescent="0.25">
      <c r="B5" s="96"/>
      <c r="C5" s="162"/>
      <c r="D5" s="97"/>
      <c r="E5" s="97"/>
      <c r="F5" s="97"/>
      <c r="G5" s="97"/>
      <c r="H5" s="97"/>
      <c r="I5" s="97"/>
      <c r="J5" s="97"/>
      <c r="K5" s="97"/>
      <c r="L5" s="97"/>
      <c r="M5" s="97"/>
      <c r="N5" s="99"/>
      <c r="P5" s="149" t="s">
        <v>139</v>
      </c>
      <c r="Q5" s="73"/>
      <c r="R5" s="72" t="s">
        <v>174</v>
      </c>
    </row>
    <row r="6" spans="2:21" ht="15" customHeight="1" x14ac:dyDescent="0.25">
      <c r="B6" s="163" t="s">
        <v>0</v>
      </c>
      <c r="C6" s="162"/>
      <c r="D6" s="97"/>
      <c r="E6" s="97"/>
      <c r="F6" s="97"/>
      <c r="G6" s="97"/>
      <c r="H6" s="97"/>
      <c r="I6" s="97"/>
      <c r="J6" s="97"/>
      <c r="K6" s="97"/>
      <c r="L6" s="97"/>
      <c r="M6" s="97"/>
      <c r="N6" s="99"/>
      <c r="P6" s="73"/>
      <c r="Q6" s="73"/>
      <c r="R6" s="72" t="s">
        <v>175</v>
      </c>
    </row>
    <row r="7" spans="2:21" ht="15" customHeight="1" x14ac:dyDescent="0.25">
      <c r="B7" s="164" t="s">
        <v>247</v>
      </c>
      <c r="C7" s="162"/>
      <c r="D7" s="97"/>
      <c r="E7" s="97"/>
      <c r="F7" s="97"/>
      <c r="G7" s="97"/>
      <c r="H7" s="97"/>
      <c r="I7" s="97"/>
      <c r="J7" s="97"/>
      <c r="K7" s="97"/>
      <c r="L7" s="97"/>
      <c r="M7" s="97"/>
      <c r="N7" s="99"/>
      <c r="P7" s="73"/>
      <c r="Q7" s="73"/>
      <c r="R7" s="165" t="s">
        <v>288</v>
      </c>
    </row>
    <row r="8" spans="2:21" ht="15" customHeight="1" x14ac:dyDescent="0.25">
      <c r="B8" s="164" t="s">
        <v>262</v>
      </c>
      <c r="C8" s="162"/>
      <c r="D8" s="97"/>
      <c r="E8" s="97"/>
      <c r="F8" s="97"/>
      <c r="G8" s="97"/>
      <c r="H8" s="97"/>
      <c r="I8" s="97"/>
      <c r="J8" s="97"/>
      <c r="K8" s="97"/>
      <c r="L8" s="97"/>
      <c r="M8" s="97"/>
      <c r="N8" s="99"/>
      <c r="P8" s="73"/>
      <c r="Q8" s="73"/>
      <c r="R8" s="73" t="s">
        <v>210</v>
      </c>
    </row>
    <row r="9" spans="2:21" ht="15" customHeight="1" x14ac:dyDescent="0.25">
      <c r="B9" s="166"/>
      <c r="C9" s="167"/>
      <c r="D9" s="92"/>
      <c r="E9" s="92"/>
      <c r="F9" s="92"/>
      <c r="G9" s="92"/>
      <c r="H9" s="92"/>
      <c r="I9" s="92"/>
      <c r="J9" s="92"/>
      <c r="K9" s="92"/>
      <c r="L9" s="92"/>
      <c r="M9" s="92"/>
      <c r="N9" s="168"/>
      <c r="P9" s="73"/>
      <c r="Q9" s="73"/>
    </row>
    <row r="10" spans="2:21" ht="15" customHeight="1" thickBot="1" x14ac:dyDescent="0.3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9"/>
      <c r="P10" s="73"/>
      <c r="Q10" s="73"/>
      <c r="R10" s="148" t="s">
        <v>42</v>
      </c>
    </row>
    <row r="11" spans="2:21" ht="15" customHeight="1" thickBot="1" x14ac:dyDescent="0.3">
      <c r="B11" s="169" t="s">
        <v>2</v>
      </c>
      <c r="C11" s="170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9"/>
      <c r="P11" s="171"/>
      <c r="Q11" s="171"/>
      <c r="R11" s="172"/>
      <c r="S11" s="173" t="s">
        <v>5</v>
      </c>
      <c r="T11" s="174"/>
      <c r="U11" s="175"/>
    </row>
    <row r="12" spans="2:21" ht="15" customHeight="1" thickBot="1" x14ac:dyDescent="0.3"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9"/>
      <c r="P12" s="171"/>
      <c r="Q12" s="171"/>
      <c r="R12" s="176" t="s">
        <v>7</v>
      </c>
      <c r="S12" s="177" t="s">
        <v>3</v>
      </c>
      <c r="T12" s="178" t="s">
        <v>4</v>
      </c>
      <c r="U12" s="178" t="s">
        <v>6</v>
      </c>
    </row>
    <row r="13" spans="2:21" ht="15" customHeight="1" x14ac:dyDescent="0.25">
      <c r="B13" s="109" t="s">
        <v>32</v>
      </c>
      <c r="C13" s="103" t="s">
        <v>19</v>
      </c>
      <c r="D13" s="51">
        <v>10000</v>
      </c>
      <c r="E13" s="97"/>
      <c r="F13" s="97"/>
      <c r="G13" s="97"/>
      <c r="H13" s="97"/>
      <c r="I13" s="97"/>
      <c r="J13" s="97"/>
      <c r="K13" s="97"/>
      <c r="L13" s="97"/>
      <c r="M13" s="97"/>
      <c r="N13" s="99"/>
      <c r="P13" s="171"/>
      <c r="Q13" s="171"/>
      <c r="R13" s="179" t="s">
        <v>8</v>
      </c>
      <c r="S13" s="180">
        <v>300</v>
      </c>
      <c r="T13" s="181">
        <v>1700</v>
      </c>
      <c r="U13" s="181">
        <v>300</v>
      </c>
    </row>
    <row r="14" spans="2:21" ht="15" customHeight="1" x14ac:dyDescent="0.25">
      <c r="B14" s="109" t="s">
        <v>5</v>
      </c>
      <c r="C14" s="103" t="s">
        <v>30</v>
      </c>
      <c r="D14" s="51" t="s">
        <v>67</v>
      </c>
      <c r="E14" s="97"/>
      <c r="F14" s="97"/>
      <c r="G14" s="97"/>
      <c r="H14" s="97"/>
      <c r="I14" s="97"/>
      <c r="J14" s="97"/>
      <c r="K14" s="97"/>
      <c r="L14" s="97"/>
      <c r="M14" s="97"/>
      <c r="N14" s="99"/>
      <c r="P14" s="171"/>
      <c r="Q14" s="171"/>
      <c r="R14" s="182" t="s">
        <v>11</v>
      </c>
      <c r="S14" s="183">
        <v>700</v>
      </c>
      <c r="T14" s="183">
        <v>1700</v>
      </c>
      <c r="U14" s="183">
        <v>300</v>
      </c>
    </row>
    <row r="15" spans="2:21" ht="15" customHeight="1" x14ac:dyDescent="0.25">
      <c r="B15" s="109" t="s">
        <v>31</v>
      </c>
      <c r="C15" s="103" t="s">
        <v>21</v>
      </c>
      <c r="D15" s="112">
        <f>IF($D$14="SIGN",10,IF($D$13&lt;=100,INDEX($S$13:$U$16,1,MATCH($D$14,$S$12:$U$12,0)),IF(AND($D$13&gt;100,$D$13&lt;=1000),INDEX($S$13:$U$16,2,MATCH($D$14,$S$12:$U$12,0)),IF(AND($D$13&gt;1000,$D$13&lt;=10000),INDEX($S$13:$U$16,3,MATCH($D$14,$S$12:$U$12,0)),IF($D$13&gt;10000,INDEX($S$13:$U$16,4,MATCH($D$14,$S$12:$U$12,0)))))))</f>
        <v>10</v>
      </c>
      <c r="E15" s="97" t="s">
        <v>16</v>
      </c>
      <c r="F15" s="97"/>
      <c r="G15" s="162" t="str">
        <f>IF($D$15=700,"(REF.1, FIG. 3.8-1B)",IF($D$15=1700,"(REF.1, FIG. 3.8-2B)",IF($D$15=300,"(REF. 1, FIG. 3.8-3B)",IF($D$15=10,"(REF. 1, FIG. 3.8-4B)"))))</f>
        <v>(REF. 1, FIG. 3.8-4B)</v>
      </c>
      <c r="H15" s="97"/>
      <c r="I15" s="97"/>
      <c r="J15" s="97"/>
      <c r="K15" s="97"/>
      <c r="L15" s="97"/>
      <c r="M15" s="97"/>
      <c r="N15" s="99"/>
      <c r="R15" s="182" t="s">
        <v>10</v>
      </c>
      <c r="S15" s="183">
        <v>700</v>
      </c>
      <c r="T15" s="183">
        <v>1700</v>
      </c>
      <c r="U15" s="183">
        <v>300</v>
      </c>
    </row>
    <row r="16" spans="2:21" ht="15" customHeight="1" thickBot="1" x14ac:dyDescent="0.3"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168"/>
      <c r="R16" s="184" t="s">
        <v>9</v>
      </c>
      <c r="S16" s="185">
        <v>1700</v>
      </c>
      <c r="T16" s="185">
        <v>1700</v>
      </c>
      <c r="U16" s="185">
        <v>300</v>
      </c>
    </row>
    <row r="17" spans="2:21" ht="15" customHeight="1" x14ac:dyDescent="0.25"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9"/>
      <c r="R17" s="96" t="s">
        <v>12</v>
      </c>
      <c r="S17" s="97"/>
      <c r="T17" s="97"/>
      <c r="U17" s="99"/>
    </row>
    <row r="18" spans="2:21" ht="15" customHeight="1" x14ac:dyDescent="0.25">
      <c r="B18" s="169" t="s">
        <v>22</v>
      </c>
      <c r="C18" s="170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9"/>
      <c r="R18" s="96" t="s">
        <v>13</v>
      </c>
      <c r="S18" s="97"/>
      <c r="T18" s="97"/>
      <c r="U18" s="99"/>
    </row>
    <row r="19" spans="2:21" ht="15" customHeight="1" x14ac:dyDescent="0.25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9"/>
      <c r="R19" s="96" t="s">
        <v>14</v>
      </c>
      <c r="S19" s="97"/>
      <c r="T19" s="97"/>
      <c r="U19" s="99"/>
    </row>
    <row r="20" spans="2:21" ht="15" customHeight="1" thickBot="1" x14ac:dyDescent="0.3">
      <c r="B20" s="109" t="s">
        <v>34</v>
      </c>
      <c r="C20" s="103" t="s">
        <v>33</v>
      </c>
      <c r="D20" s="186">
        <f>IF($D$15=700,115,IF($D$15=1700,120,IF($D$15=300,105,IF($D$15=10,76))))</f>
        <v>76</v>
      </c>
      <c r="E20" s="105" t="s">
        <v>17</v>
      </c>
      <c r="F20" s="97"/>
      <c r="G20" s="97"/>
      <c r="H20" s="97"/>
      <c r="I20" s="97"/>
      <c r="J20" s="97"/>
      <c r="K20" s="97"/>
      <c r="L20" s="97"/>
      <c r="M20" s="97"/>
      <c r="N20" s="99"/>
      <c r="R20" s="187" t="s">
        <v>15</v>
      </c>
      <c r="S20" s="144"/>
      <c r="T20" s="144"/>
      <c r="U20" s="145"/>
    </row>
    <row r="21" spans="2:21" ht="15" customHeight="1" x14ac:dyDescent="0.25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168"/>
    </row>
    <row r="22" spans="2:21" ht="15" customHeight="1" thickBot="1" x14ac:dyDescent="0.3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9"/>
      <c r="R22" s="148" t="s">
        <v>58</v>
      </c>
    </row>
    <row r="23" spans="2:21" ht="15" customHeight="1" thickBot="1" x14ac:dyDescent="0.3">
      <c r="B23" s="169" t="s">
        <v>74</v>
      </c>
      <c r="C23" s="170"/>
      <c r="D23" s="97"/>
      <c r="E23" s="97"/>
      <c r="F23" s="97"/>
      <c r="G23" s="97"/>
      <c r="H23" s="97"/>
      <c r="I23" s="97"/>
      <c r="J23" s="97"/>
      <c r="K23" s="98" t="s">
        <v>26</v>
      </c>
      <c r="L23" s="103" t="s">
        <v>27</v>
      </c>
      <c r="M23" s="112">
        <f>IF($D$25="B",7,IF($D$25="C",9.5,IF(D25="D",11.5)))</f>
        <v>9.5</v>
      </c>
      <c r="N23" s="99"/>
      <c r="R23" s="178" t="s">
        <v>59</v>
      </c>
      <c r="S23" s="178" t="s">
        <v>60</v>
      </c>
    </row>
    <row r="24" spans="2:21" ht="15" customHeight="1" x14ac:dyDescent="0.25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112" t="s">
        <v>28</v>
      </c>
      <c r="M24" s="112">
        <f>IF($D$25="B",1200,IF($D$25="C",900,IF(D25="D",700)))</f>
        <v>900</v>
      </c>
      <c r="N24" s="99" t="s">
        <v>24</v>
      </c>
      <c r="R24" s="188" t="s">
        <v>61</v>
      </c>
      <c r="S24" s="181">
        <v>0.85</v>
      </c>
    </row>
    <row r="25" spans="2:21" ht="15" customHeight="1" x14ac:dyDescent="0.25">
      <c r="B25" s="96" t="s">
        <v>70</v>
      </c>
      <c r="C25" s="112" t="s">
        <v>35</v>
      </c>
      <c r="D25" s="51" t="s">
        <v>25</v>
      </c>
      <c r="E25" s="97"/>
      <c r="F25" s="97"/>
      <c r="G25" s="162" t="s">
        <v>265</v>
      </c>
      <c r="H25" s="97"/>
      <c r="I25" s="97"/>
      <c r="J25" s="97"/>
      <c r="K25" s="97"/>
      <c r="L25" s="97"/>
      <c r="M25" s="97"/>
      <c r="N25" s="99"/>
      <c r="R25" s="189" t="s">
        <v>62</v>
      </c>
      <c r="S25" s="183">
        <v>0.85</v>
      </c>
    </row>
    <row r="26" spans="2:21" ht="15" customHeight="1" x14ac:dyDescent="0.25">
      <c r="B26" s="96" t="s">
        <v>71</v>
      </c>
      <c r="C26" s="112" t="s">
        <v>36</v>
      </c>
      <c r="D26" s="53">
        <v>30</v>
      </c>
      <c r="E26" s="97" t="s">
        <v>24</v>
      </c>
      <c r="F26" s="97"/>
      <c r="G26" s="162"/>
      <c r="H26" s="97"/>
      <c r="I26" s="97"/>
      <c r="J26" s="97"/>
      <c r="K26" s="98" t="s">
        <v>50</v>
      </c>
      <c r="L26" s="112" t="s">
        <v>51</v>
      </c>
      <c r="M26" s="51">
        <v>4.24</v>
      </c>
      <c r="N26" s="99" t="s">
        <v>24</v>
      </c>
      <c r="R26" s="189" t="s">
        <v>63</v>
      </c>
      <c r="S26" s="183">
        <v>0.85</v>
      </c>
    </row>
    <row r="27" spans="2:21" ht="15" customHeight="1" thickBot="1" x14ac:dyDescent="0.3">
      <c r="B27" s="96" t="s">
        <v>72</v>
      </c>
      <c r="C27" s="112" t="s">
        <v>37</v>
      </c>
      <c r="D27" s="117">
        <f>IF($D$26&lt;16,2*(16/$M$24)^(2/$M$23),2*($D$26/$M$24)^(2/$M$23))</f>
        <v>0.97736571406607253</v>
      </c>
      <c r="E27" s="97"/>
      <c r="F27" s="97"/>
      <c r="G27" s="162" t="s">
        <v>23</v>
      </c>
      <c r="H27" s="97"/>
      <c r="I27" s="97"/>
      <c r="J27" s="97"/>
      <c r="K27" s="97"/>
      <c r="L27" s="112" t="s">
        <v>78</v>
      </c>
      <c r="M27" s="66">
        <f>M32</f>
        <v>4.24</v>
      </c>
      <c r="N27" s="99" t="s">
        <v>24</v>
      </c>
      <c r="R27" s="190" t="s">
        <v>73</v>
      </c>
      <c r="S27" s="185">
        <v>0.85</v>
      </c>
    </row>
    <row r="28" spans="2:21" ht="15" customHeight="1" x14ac:dyDescent="0.25">
      <c r="B28" s="96" t="s">
        <v>39</v>
      </c>
      <c r="C28" s="112" t="s">
        <v>38</v>
      </c>
      <c r="D28" s="66">
        <v>0.85</v>
      </c>
      <c r="E28" s="97"/>
      <c r="F28" s="97"/>
      <c r="G28" s="162" t="s">
        <v>43</v>
      </c>
      <c r="H28" s="97"/>
      <c r="I28" s="97"/>
      <c r="J28" s="97"/>
      <c r="K28" s="97"/>
      <c r="L28" s="112" t="s">
        <v>249</v>
      </c>
      <c r="M28" s="191">
        <f>IF(M26&gt;M27,M26/M27,M27/M26)</f>
        <v>1</v>
      </c>
      <c r="N28" s="192" t="str">
        <f>IF(M28&lt;1,"ERROR","")</f>
        <v/>
      </c>
    </row>
    <row r="29" spans="2:21" ht="15" customHeight="1" thickBot="1" x14ac:dyDescent="0.3">
      <c r="B29" s="96" t="s">
        <v>45</v>
      </c>
      <c r="C29" s="112" t="s">
        <v>44</v>
      </c>
      <c r="D29" s="112">
        <v>1.1399999999999999</v>
      </c>
      <c r="E29" s="97"/>
      <c r="F29" s="97"/>
      <c r="G29" s="162" t="s">
        <v>46</v>
      </c>
      <c r="H29" s="97"/>
      <c r="I29" s="97"/>
      <c r="J29" s="97"/>
      <c r="K29" s="97"/>
      <c r="L29" s="97"/>
      <c r="M29" s="97"/>
      <c r="N29" s="99"/>
      <c r="R29" s="148" t="s">
        <v>52</v>
      </c>
    </row>
    <row r="30" spans="2:21" ht="15" customHeight="1" thickBot="1" x14ac:dyDescent="0.3">
      <c r="B30" s="96" t="s">
        <v>47</v>
      </c>
      <c r="C30" s="112" t="s">
        <v>48</v>
      </c>
      <c r="D30" s="117">
        <f>INDEX(S31:S35,MATCH(M28,R31:R35,-1))</f>
        <v>1.1200000000000001</v>
      </c>
      <c r="E30" s="97"/>
      <c r="F30" s="97"/>
      <c r="G30" s="162" t="s">
        <v>49</v>
      </c>
      <c r="H30" s="97"/>
      <c r="I30" s="97"/>
      <c r="J30" s="97"/>
      <c r="K30" s="97"/>
      <c r="L30" s="135" t="s">
        <v>289</v>
      </c>
      <c r="M30" s="51">
        <v>4.24</v>
      </c>
      <c r="N30" s="99" t="s">
        <v>24</v>
      </c>
      <c r="R30" s="193" t="s">
        <v>53</v>
      </c>
      <c r="S30" s="194" t="s">
        <v>54</v>
      </c>
    </row>
    <row r="31" spans="2:21" ht="15" customHeight="1" x14ac:dyDescent="0.25">
      <c r="B31" s="109" t="s">
        <v>41</v>
      </c>
      <c r="C31" s="1" t="s">
        <v>40</v>
      </c>
      <c r="D31" s="3">
        <f>0.00256*D27*D28*D29*D20^2*D30</f>
        <v>15.684332824180631</v>
      </c>
      <c r="E31" s="4" t="s">
        <v>55</v>
      </c>
      <c r="F31" s="97"/>
      <c r="G31" s="162" t="s">
        <v>20</v>
      </c>
      <c r="H31" s="97"/>
      <c r="I31" s="97"/>
      <c r="J31" s="97"/>
      <c r="K31" s="97"/>
      <c r="L31" s="135" t="s">
        <v>290</v>
      </c>
      <c r="M31" s="51">
        <v>0</v>
      </c>
      <c r="N31" s="99" t="s">
        <v>24</v>
      </c>
      <c r="R31" s="196">
        <v>15</v>
      </c>
      <c r="S31" s="197">
        <v>1.3</v>
      </c>
    </row>
    <row r="32" spans="2:21" ht="15" customHeight="1" x14ac:dyDescent="0.25">
      <c r="B32" s="96" t="s">
        <v>56</v>
      </c>
      <c r="C32" s="5" t="s">
        <v>57</v>
      </c>
      <c r="D32" s="3">
        <f>$D$31*($M$26*$M$27)</f>
        <v>281.96666177998975</v>
      </c>
      <c r="E32" s="4" t="s">
        <v>167</v>
      </c>
      <c r="F32" s="97"/>
      <c r="G32" s="97"/>
      <c r="H32" s="97"/>
      <c r="I32" s="97"/>
      <c r="J32" s="97"/>
      <c r="K32" s="97"/>
      <c r="L32" s="135" t="s">
        <v>291</v>
      </c>
      <c r="M32" s="108">
        <f>M30+M31</f>
        <v>4.24</v>
      </c>
      <c r="N32" s="99" t="s">
        <v>24</v>
      </c>
      <c r="R32" s="198">
        <v>10</v>
      </c>
      <c r="S32" s="199">
        <v>1.23</v>
      </c>
    </row>
    <row r="33" spans="2:24" ht="15" customHeight="1" x14ac:dyDescent="0.25">
      <c r="B33" s="96"/>
      <c r="C33" s="112"/>
      <c r="D33" s="195"/>
      <c r="E33" s="97"/>
      <c r="F33" s="97"/>
      <c r="G33" s="97"/>
      <c r="H33" s="97"/>
      <c r="I33" s="97"/>
      <c r="J33" s="97"/>
      <c r="K33" s="97"/>
      <c r="L33" s="135" t="s">
        <v>316</v>
      </c>
      <c r="M33" s="51" t="s">
        <v>315</v>
      </c>
      <c r="N33" s="99"/>
      <c r="R33" s="198">
        <v>5</v>
      </c>
      <c r="S33" s="199">
        <v>1.2</v>
      </c>
    </row>
    <row r="34" spans="2:24" ht="15" customHeight="1" thickBot="1" x14ac:dyDescent="0.3">
      <c r="B34" s="187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5"/>
      <c r="R34" s="198">
        <v>2</v>
      </c>
      <c r="S34" s="199">
        <v>1.19</v>
      </c>
      <c r="W34" s="200"/>
    </row>
    <row r="35" spans="2:24" ht="15" customHeight="1" thickBot="1" x14ac:dyDescent="0.3">
      <c r="R35" s="201">
        <v>1</v>
      </c>
      <c r="S35" s="202">
        <v>1.1200000000000001</v>
      </c>
    </row>
    <row r="36" spans="2:24" ht="15" customHeight="1" x14ac:dyDescent="0.25">
      <c r="R36" s="62" t="s">
        <v>263</v>
      </c>
    </row>
    <row r="37" spans="2:24" ht="15" customHeight="1" thickBot="1" x14ac:dyDescent="0.3">
      <c r="O37" s="97"/>
      <c r="R37" s="62" t="s">
        <v>264</v>
      </c>
    </row>
    <row r="38" spans="2:24" ht="15" customHeight="1" x14ac:dyDescent="0.25">
      <c r="K38" s="258" t="s">
        <v>320</v>
      </c>
      <c r="L38" s="259"/>
      <c r="M38" s="259"/>
      <c r="N38" s="260"/>
      <c r="O38" s="97"/>
    </row>
    <row r="39" spans="2:24" ht="15" customHeight="1" thickBot="1" x14ac:dyDescent="0.3">
      <c r="K39" s="250"/>
      <c r="L39" s="251"/>
      <c r="M39" s="251"/>
      <c r="N39" s="252"/>
      <c r="R39" s="148" t="s">
        <v>266</v>
      </c>
    </row>
    <row r="40" spans="2:24" ht="15" customHeight="1" thickBot="1" x14ac:dyDescent="0.3">
      <c r="K40" s="250"/>
      <c r="L40" s="251"/>
      <c r="M40" s="251"/>
      <c r="N40" s="252"/>
      <c r="R40" s="178" t="s">
        <v>250</v>
      </c>
      <c r="S40" s="263" t="s">
        <v>251</v>
      </c>
      <c r="T40" s="264"/>
      <c r="U40" s="264"/>
      <c r="V40" s="264"/>
      <c r="W40" s="264"/>
      <c r="X40" s="265"/>
    </row>
    <row r="41" spans="2:24" ht="15" customHeight="1" x14ac:dyDescent="0.25">
      <c r="K41" s="250"/>
      <c r="L41" s="251"/>
      <c r="M41" s="251"/>
      <c r="N41" s="252"/>
      <c r="R41" s="261" t="s">
        <v>252</v>
      </c>
      <c r="S41" s="203" t="s">
        <v>253</v>
      </c>
      <c r="T41" s="204"/>
      <c r="U41" s="204"/>
      <c r="V41" s="204"/>
      <c r="W41" s="204"/>
      <c r="X41" s="205"/>
    </row>
    <row r="42" spans="2:24" ht="15" customHeight="1" x14ac:dyDescent="0.25">
      <c r="K42" s="250"/>
      <c r="L42" s="251"/>
      <c r="M42" s="251"/>
      <c r="N42" s="252"/>
      <c r="R42" s="266"/>
      <c r="S42" s="206" t="s">
        <v>254</v>
      </c>
      <c r="T42" s="207"/>
      <c r="U42" s="207"/>
      <c r="V42" s="207"/>
      <c r="W42" s="207"/>
      <c r="X42" s="208"/>
    </row>
    <row r="43" spans="2:24" ht="15" customHeight="1" thickBot="1" x14ac:dyDescent="0.3">
      <c r="K43" s="250"/>
      <c r="L43" s="251"/>
      <c r="M43" s="251"/>
      <c r="N43" s="252"/>
      <c r="R43" s="262"/>
      <c r="S43" s="209" t="s">
        <v>255</v>
      </c>
      <c r="T43" s="210"/>
      <c r="U43" s="210"/>
      <c r="V43" s="210"/>
      <c r="W43" s="210"/>
      <c r="X43" s="211"/>
    </row>
    <row r="44" spans="2:24" ht="15" customHeight="1" x14ac:dyDescent="0.25">
      <c r="K44" s="250"/>
      <c r="L44" s="251"/>
      <c r="M44" s="251"/>
      <c r="N44" s="252"/>
      <c r="R44" s="261" t="s">
        <v>25</v>
      </c>
      <c r="S44" s="212" t="s">
        <v>256</v>
      </c>
      <c r="T44" s="213"/>
      <c r="U44" s="213"/>
      <c r="V44" s="213"/>
      <c r="W44" s="213"/>
      <c r="X44" s="214"/>
    </row>
    <row r="45" spans="2:24" ht="15" customHeight="1" x14ac:dyDescent="0.25">
      <c r="K45" s="250"/>
      <c r="L45" s="251"/>
      <c r="M45" s="251"/>
      <c r="N45" s="252"/>
      <c r="R45" s="266"/>
      <c r="S45" s="109" t="s">
        <v>257</v>
      </c>
      <c r="T45" s="105"/>
      <c r="U45" s="105"/>
      <c r="V45" s="105"/>
      <c r="W45" s="105"/>
      <c r="X45" s="116"/>
    </row>
    <row r="46" spans="2:24" ht="15" customHeight="1" thickBot="1" x14ac:dyDescent="0.3">
      <c r="K46" s="250"/>
      <c r="L46" s="251"/>
      <c r="M46" s="251"/>
      <c r="N46" s="252"/>
      <c r="R46" s="262"/>
      <c r="S46" s="215" t="s">
        <v>258</v>
      </c>
      <c r="T46" s="216"/>
      <c r="U46" s="216"/>
      <c r="V46" s="216"/>
      <c r="W46" s="216"/>
      <c r="X46" s="217"/>
    </row>
    <row r="47" spans="2:24" ht="15" customHeight="1" x14ac:dyDescent="0.25">
      <c r="K47" s="250"/>
      <c r="L47" s="251"/>
      <c r="M47" s="251"/>
      <c r="N47" s="252"/>
      <c r="R47" s="261" t="s">
        <v>259</v>
      </c>
      <c r="S47" s="87" t="s">
        <v>260</v>
      </c>
      <c r="T47" s="88"/>
      <c r="U47" s="88"/>
      <c r="V47" s="88"/>
      <c r="W47" s="88"/>
      <c r="X47" s="154"/>
    </row>
    <row r="48" spans="2:24" ht="15" customHeight="1" thickBot="1" x14ac:dyDescent="0.3">
      <c r="K48" s="250"/>
      <c r="L48" s="251"/>
      <c r="M48" s="251"/>
      <c r="N48" s="252"/>
      <c r="R48" s="262"/>
      <c r="S48" s="187" t="s">
        <v>261</v>
      </c>
      <c r="T48" s="144"/>
      <c r="U48" s="144"/>
      <c r="V48" s="144"/>
      <c r="W48" s="144"/>
      <c r="X48" s="145"/>
    </row>
    <row r="49" spans="11:18" ht="15" customHeight="1" x14ac:dyDescent="0.25">
      <c r="K49" s="250"/>
      <c r="L49" s="251"/>
      <c r="M49" s="251"/>
      <c r="N49" s="252"/>
      <c r="R49" s="62" t="s">
        <v>267</v>
      </c>
    </row>
    <row r="50" spans="11:18" ht="15" customHeight="1" thickBot="1" x14ac:dyDescent="0.3">
      <c r="K50" s="253"/>
      <c r="L50" s="254"/>
      <c r="M50" s="254"/>
      <c r="N50" s="255"/>
    </row>
  </sheetData>
  <sheetProtection sheet="1" objects="1" scenarios="1"/>
  <mergeCells count="5">
    <mergeCell ref="K38:N38"/>
    <mergeCell ref="R47:R48"/>
    <mergeCell ref="S40:X40"/>
    <mergeCell ref="R41:R43"/>
    <mergeCell ref="R44:R46"/>
  </mergeCells>
  <dataValidations xWindow="256" yWindow="649" count="4">
    <dataValidation type="list" allowBlank="1" showInputMessage="1" showErrorMessage="1" sqref="D14">
      <formula1>"TYPICAL,HIGH,LOW,SIGN"</formula1>
    </dataValidation>
    <dataValidation type="list" allowBlank="1" showInputMessage="1" showErrorMessage="1" sqref="D25">
      <formula1>"B,C,D"</formula1>
    </dataValidation>
    <dataValidation allowBlank="1" showInputMessage="1" showErrorMessage="1" prompt="DISTANCE FROM THE GROUND TO THE SIGN CENTROID" sqref="D26"/>
    <dataValidation type="list" allowBlank="1" showInputMessage="1" showErrorMessage="1" sqref="M33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B1:V70"/>
  <sheetViews>
    <sheetView showGridLines="0" zoomScale="80" zoomScaleNormal="80" workbookViewId="0"/>
  </sheetViews>
  <sheetFormatPr defaultColWidth="9.109375" defaultRowHeight="15" customHeight="1" x14ac:dyDescent="0.25"/>
  <cols>
    <col min="1" max="1" width="2.77734375" style="62" customWidth="1"/>
    <col min="2" max="2" width="15.77734375" style="62" customWidth="1"/>
    <col min="3" max="22" width="12.77734375" style="62" customWidth="1"/>
    <col min="23" max="23" width="2.77734375" style="62" customWidth="1"/>
    <col min="24" max="24" width="12.6640625" style="62" customWidth="1"/>
    <col min="25" max="16384" width="9.109375" style="62"/>
  </cols>
  <sheetData>
    <row r="1" spans="2:22" ht="15" customHeight="1" thickBot="1" x14ac:dyDescent="0.3"/>
    <row r="2" spans="2:22" ht="30" customHeight="1" thickBot="1" x14ac:dyDescent="0.3">
      <c r="B2" s="62" t="s">
        <v>325</v>
      </c>
      <c r="C2" s="267" t="s">
        <v>158</v>
      </c>
      <c r="D2" s="268"/>
      <c r="E2" s="268"/>
      <c r="F2" s="268"/>
      <c r="G2" s="268"/>
      <c r="H2" s="268"/>
      <c r="I2" s="269"/>
    </row>
    <row r="3" spans="2:22" ht="15" customHeight="1" thickBot="1" x14ac:dyDescent="0.3">
      <c r="B3" s="193"/>
      <c r="E3" s="225"/>
      <c r="F3" s="226"/>
      <c r="G3" s="227"/>
      <c r="H3" s="227"/>
      <c r="L3" s="228" t="s">
        <v>126</v>
      </c>
      <c r="M3" s="84"/>
      <c r="N3" s="84"/>
      <c r="O3" s="229"/>
      <c r="R3" s="228" t="s">
        <v>229</v>
      </c>
      <c r="S3" s="85"/>
      <c r="T3" s="85"/>
      <c r="U3" s="85"/>
      <c r="V3" s="86"/>
    </row>
    <row r="4" spans="2:22" ht="15" customHeight="1" x14ac:dyDescent="0.25">
      <c r="B4" s="225" t="s">
        <v>82</v>
      </c>
      <c r="E4" s="225" t="s">
        <v>98</v>
      </c>
      <c r="F4" s="225"/>
      <c r="G4" s="225" t="s">
        <v>76</v>
      </c>
      <c r="H4" s="225" t="s">
        <v>116</v>
      </c>
      <c r="L4" s="193" t="s">
        <v>103</v>
      </c>
      <c r="M4" s="193" t="s">
        <v>98</v>
      </c>
      <c r="N4" s="193" t="s">
        <v>109</v>
      </c>
      <c r="O4" s="193" t="s">
        <v>102</v>
      </c>
      <c r="T4" s="225" t="s">
        <v>171</v>
      </c>
      <c r="U4" s="225" t="s">
        <v>234</v>
      </c>
      <c r="V4" s="225" t="s">
        <v>237</v>
      </c>
    </row>
    <row r="5" spans="2:22" ht="15" customHeight="1" x14ac:dyDescent="0.25">
      <c r="B5" s="225" t="s">
        <v>81</v>
      </c>
      <c r="E5" s="225" t="s">
        <v>94</v>
      </c>
      <c r="F5" s="225" t="s">
        <v>69</v>
      </c>
      <c r="G5" s="225" t="s">
        <v>117</v>
      </c>
      <c r="H5" s="225" t="s">
        <v>114</v>
      </c>
      <c r="L5" s="225" t="s">
        <v>104</v>
      </c>
      <c r="M5" s="225" t="s">
        <v>76</v>
      </c>
      <c r="N5" s="225" t="s">
        <v>101</v>
      </c>
      <c r="O5" s="225" t="s">
        <v>76</v>
      </c>
      <c r="T5" s="225" t="s">
        <v>94</v>
      </c>
      <c r="U5" s="225" t="s">
        <v>235</v>
      </c>
      <c r="V5" s="225" t="s">
        <v>231</v>
      </c>
    </row>
    <row r="6" spans="2:22" ht="15" customHeight="1" x14ac:dyDescent="0.25">
      <c r="B6" s="225"/>
      <c r="E6" s="225" t="s">
        <v>107</v>
      </c>
      <c r="F6" s="225" t="s">
        <v>113</v>
      </c>
      <c r="G6" s="225" t="s">
        <v>89</v>
      </c>
      <c r="H6" s="225" t="s">
        <v>91</v>
      </c>
      <c r="L6" s="225" t="s">
        <v>99</v>
      </c>
      <c r="M6" s="225" t="s">
        <v>108</v>
      </c>
      <c r="N6" s="225" t="s">
        <v>110</v>
      </c>
      <c r="O6" s="225" t="s">
        <v>111</v>
      </c>
      <c r="T6" s="225" t="s">
        <v>107</v>
      </c>
      <c r="U6" s="225" t="s">
        <v>236</v>
      </c>
      <c r="V6" s="225" t="s">
        <v>238</v>
      </c>
    </row>
    <row r="7" spans="2:22" ht="15" customHeight="1" thickBot="1" x14ac:dyDescent="0.3">
      <c r="B7" s="176"/>
      <c r="E7" s="176" t="s">
        <v>95</v>
      </c>
      <c r="F7" s="176" t="s">
        <v>79</v>
      </c>
      <c r="G7" s="176" t="s">
        <v>92</v>
      </c>
      <c r="H7" s="176" t="s">
        <v>90</v>
      </c>
      <c r="L7" s="225" t="s">
        <v>100</v>
      </c>
      <c r="M7" s="225" t="s">
        <v>77</v>
      </c>
      <c r="N7" s="230"/>
      <c r="O7" s="225" t="s">
        <v>129</v>
      </c>
      <c r="T7" s="176" t="s">
        <v>80</v>
      </c>
      <c r="U7" s="225" t="s">
        <v>233</v>
      </c>
      <c r="V7" s="225" t="s">
        <v>80</v>
      </c>
    </row>
    <row r="8" spans="2:22" ht="15" customHeight="1" x14ac:dyDescent="0.25">
      <c r="B8" s="10" t="s">
        <v>150</v>
      </c>
      <c r="E8" s="11">
        <v>2</v>
      </c>
      <c r="F8" s="11">
        <v>0.59</v>
      </c>
      <c r="G8" s="11">
        <v>0.17899999999999999</v>
      </c>
      <c r="H8" s="11">
        <v>0.22500000000000001</v>
      </c>
      <c r="L8" s="10">
        <v>50000</v>
      </c>
      <c r="M8" s="6">
        <f t="shared" ref="M8:M14" si="0">L8*H8</f>
        <v>11250</v>
      </c>
      <c r="N8" s="21">
        <v>0.9</v>
      </c>
      <c r="O8" s="6">
        <f t="shared" ref="O8:O14" si="1">N8*M8/12</f>
        <v>843.75</v>
      </c>
      <c r="T8" s="21">
        <v>2</v>
      </c>
      <c r="U8" s="11">
        <f t="shared" ref="U8:U14" si="2">(PI()*(1/2)^2)*4/27</f>
        <v>0.11635528346628864</v>
      </c>
      <c r="V8" s="11">
        <f t="shared" ref="V8:V14" si="3">1.502*3.75*4+0.376*2*PI()*0.5/2*4</f>
        <v>24.892477675499524</v>
      </c>
    </row>
    <row r="9" spans="2:22" ht="15" customHeight="1" x14ac:dyDescent="0.25">
      <c r="B9" s="12" t="s">
        <v>151</v>
      </c>
      <c r="E9" s="13">
        <v>2.25</v>
      </c>
      <c r="F9" s="13">
        <v>0.64500000000000002</v>
      </c>
      <c r="G9" s="13">
        <v>0.20100000000000001</v>
      </c>
      <c r="H9" s="13">
        <v>0.254</v>
      </c>
      <c r="L9" s="12">
        <v>50000</v>
      </c>
      <c r="M9" s="8">
        <f t="shared" si="0"/>
        <v>12700</v>
      </c>
      <c r="N9" s="18">
        <v>0.9</v>
      </c>
      <c r="O9" s="8">
        <f t="shared" si="1"/>
        <v>952.5</v>
      </c>
      <c r="T9" s="18">
        <v>2.25</v>
      </c>
      <c r="U9" s="13">
        <f t="shared" si="2"/>
        <v>0.11635528346628864</v>
      </c>
      <c r="V9" s="13">
        <f t="shared" si="3"/>
        <v>24.892477675499524</v>
      </c>
    </row>
    <row r="10" spans="2:22" ht="15" customHeight="1" x14ac:dyDescent="0.25">
      <c r="B10" s="14" t="s">
        <v>152</v>
      </c>
      <c r="E10" s="15">
        <v>2.5</v>
      </c>
      <c r="F10" s="15">
        <v>0.748</v>
      </c>
      <c r="G10" s="15">
        <v>0.23300000000000001</v>
      </c>
      <c r="H10" s="15">
        <v>0.28899999999999998</v>
      </c>
      <c r="L10" s="14">
        <v>50000</v>
      </c>
      <c r="M10" s="7">
        <f t="shared" si="0"/>
        <v>14449.999999999998</v>
      </c>
      <c r="N10" s="19">
        <v>0.9</v>
      </c>
      <c r="O10" s="7">
        <f t="shared" si="1"/>
        <v>1083.7499999999998</v>
      </c>
      <c r="T10" s="19">
        <v>2.5</v>
      </c>
      <c r="U10" s="15">
        <f t="shared" si="2"/>
        <v>0.11635528346628864</v>
      </c>
      <c r="V10" s="15">
        <f t="shared" si="3"/>
        <v>24.892477675499524</v>
      </c>
    </row>
    <row r="11" spans="2:22" ht="15" customHeight="1" x14ac:dyDescent="0.25">
      <c r="B11" s="16" t="s">
        <v>153</v>
      </c>
      <c r="E11" s="17">
        <v>2.75</v>
      </c>
      <c r="F11" s="17">
        <v>0.81899999999999995</v>
      </c>
      <c r="G11" s="17">
        <v>0.27700000000000002</v>
      </c>
      <c r="H11" s="17">
        <v>0.32900000000000001</v>
      </c>
      <c r="L11" s="16">
        <v>50000</v>
      </c>
      <c r="M11" s="9">
        <f t="shared" si="0"/>
        <v>16450</v>
      </c>
      <c r="N11" s="20">
        <v>0.9</v>
      </c>
      <c r="O11" s="9">
        <f t="shared" si="1"/>
        <v>1233.75</v>
      </c>
      <c r="T11" s="20">
        <v>2.75</v>
      </c>
      <c r="U11" s="17">
        <f t="shared" si="2"/>
        <v>0.11635528346628864</v>
      </c>
      <c r="V11" s="17">
        <f t="shared" si="3"/>
        <v>24.892477675499524</v>
      </c>
    </row>
    <row r="12" spans="2:22" ht="15" customHeight="1" x14ac:dyDescent="0.25">
      <c r="B12" s="22" t="s">
        <v>154</v>
      </c>
      <c r="E12" s="23">
        <v>2.75</v>
      </c>
      <c r="F12" s="23">
        <v>0.81699999999999995</v>
      </c>
      <c r="G12" s="23">
        <v>0.33100000000000002</v>
      </c>
      <c r="H12" s="23">
        <v>0.36299999999999999</v>
      </c>
      <c r="L12" s="22">
        <v>50000</v>
      </c>
      <c r="M12" s="24">
        <f t="shared" si="0"/>
        <v>18150</v>
      </c>
      <c r="N12" s="25">
        <v>0.9</v>
      </c>
      <c r="O12" s="24">
        <f t="shared" si="1"/>
        <v>1361.25</v>
      </c>
      <c r="T12" s="25">
        <v>2.75</v>
      </c>
      <c r="U12" s="35">
        <f t="shared" si="2"/>
        <v>0.11635528346628864</v>
      </c>
      <c r="V12" s="35">
        <f t="shared" si="3"/>
        <v>24.892477675499524</v>
      </c>
    </row>
    <row r="13" spans="2:22" ht="15" customHeight="1" x14ac:dyDescent="0.25">
      <c r="B13" s="26" t="s">
        <v>155</v>
      </c>
      <c r="E13" s="27">
        <v>3</v>
      </c>
      <c r="F13" s="27">
        <v>0.91800000000000004</v>
      </c>
      <c r="G13" s="27">
        <v>0.372</v>
      </c>
      <c r="H13" s="27">
        <v>0.40300000000000002</v>
      </c>
      <c r="L13" s="26">
        <v>50000</v>
      </c>
      <c r="M13" s="28">
        <f t="shared" si="0"/>
        <v>20150</v>
      </c>
      <c r="N13" s="29">
        <v>0.9</v>
      </c>
      <c r="O13" s="28">
        <f t="shared" si="1"/>
        <v>1511.25</v>
      </c>
      <c r="T13" s="29">
        <v>3</v>
      </c>
      <c r="U13" s="37">
        <f t="shared" si="2"/>
        <v>0.11635528346628864</v>
      </c>
      <c r="V13" s="37">
        <f t="shared" si="3"/>
        <v>24.892477675499524</v>
      </c>
    </row>
    <row r="14" spans="2:22" ht="15" customHeight="1" thickBot="1" x14ac:dyDescent="0.3">
      <c r="B14" s="30" t="s">
        <v>156</v>
      </c>
      <c r="E14" s="31">
        <v>4</v>
      </c>
      <c r="F14" s="31">
        <v>1.1950000000000001</v>
      </c>
      <c r="G14" s="31">
        <v>0.46</v>
      </c>
      <c r="H14" s="31">
        <v>0.51100000000000001</v>
      </c>
      <c r="L14" s="30">
        <v>50000</v>
      </c>
      <c r="M14" s="32">
        <f t="shared" si="0"/>
        <v>25550</v>
      </c>
      <c r="N14" s="33">
        <v>0.9</v>
      </c>
      <c r="O14" s="32">
        <f t="shared" si="1"/>
        <v>1916.25</v>
      </c>
      <c r="T14" s="33">
        <v>4</v>
      </c>
      <c r="U14" s="31">
        <f t="shared" si="2"/>
        <v>0.11635528346628864</v>
      </c>
      <c r="V14" s="31">
        <f t="shared" si="3"/>
        <v>24.892477675499524</v>
      </c>
    </row>
    <row r="15" spans="2:22" ht="15" customHeight="1" x14ac:dyDescent="0.25">
      <c r="B15" s="105"/>
      <c r="C15" s="112"/>
      <c r="D15" s="112"/>
      <c r="E15" s="231"/>
      <c r="F15" s="232"/>
      <c r="G15" s="112"/>
      <c r="H15" s="232"/>
      <c r="I15" s="232"/>
      <c r="J15" s="232"/>
      <c r="K15" s="232"/>
      <c r="L15" s="112"/>
      <c r="M15" s="120"/>
      <c r="N15" s="117"/>
      <c r="O15" s="120"/>
    </row>
    <row r="16" spans="2:22" ht="15" customHeight="1" x14ac:dyDescent="0.25">
      <c r="B16" s="148" t="s">
        <v>125</v>
      </c>
      <c r="C16" s="62" t="s">
        <v>268</v>
      </c>
    </row>
    <row r="17" spans="2:22" ht="15" customHeight="1" x14ac:dyDescent="0.25">
      <c r="C17" s="62" t="s">
        <v>270</v>
      </c>
    </row>
    <row r="18" spans="2:22" ht="15" customHeight="1" x14ac:dyDescent="0.25">
      <c r="C18" s="62" t="s">
        <v>275</v>
      </c>
    </row>
    <row r="20" spans="2:22" ht="15" customHeight="1" thickBot="1" x14ac:dyDescent="0.3"/>
    <row r="21" spans="2:22" ht="30" customHeight="1" thickBot="1" x14ac:dyDescent="0.3">
      <c r="C21" s="267" t="s">
        <v>157</v>
      </c>
      <c r="D21" s="268"/>
      <c r="E21" s="268"/>
      <c r="F21" s="268"/>
      <c r="G21" s="268"/>
      <c r="H21" s="268"/>
      <c r="I21" s="269"/>
    </row>
    <row r="22" spans="2:22" ht="15" customHeight="1" thickBot="1" x14ac:dyDescent="0.3">
      <c r="B22" s="193"/>
      <c r="C22" s="193"/>
      <c r="D22" s="193"/>
      <c r="E22" s="193"/>
      <c r="F22" s="233"/>
      <c r="G22" s="234"/>
      <c r="H22" s="234"/>
      <c r="I22" s="234"/>
      <c r="L22" s="228" t="s">
        <v>126</v>
      </c>
      <c r="M22" s="84"/>
      <c r="N22" s="84"/>
      <c r="O22" s="229"/>
      <c r="R22" s="228" t="s">
        <v>229</v>
      </c>
      <c r="S22" s="85"/>
      <c r="T22" s="85"/>
      <c r="U22" s="85"/>
      <c r="V22" s="86"/>
    </row>
    <row r="23" spans="2:22" ht="15" customHeight="1" x14ac:dyDescent="0.25">
      <c r="B23" s="225" t="s">
        <v>82</v>
      </c>
      <c r="C23" s="225" t="s">
        <v>112</v>
      </c>
      <c r="D23" s="225" t="s">
        <v>106</v>
      </c>
      <c r="E23" s="225" t="s">
        <v>98</v>
      </c>
      <c r="F23" s="225"/>
      <c r="G23" s="225" t="s">
        <v>76</v>
      </c>
      <c r="H23" s="225" t="s">
        <v>116</v>
      </c>
      <c r="I23" s="225" t="s">
        <v>115</v>
      </c>
      <c r="L23" s="193" t="s">
        <v>103</v>
      </c>
      <c r="M23" s="193" t="s">
        <v>98</v>
      </c>
      <c r="N23" s="193" t="s">
        <v>109</v>
      </c>
      <c r="O23" s="193" t="s">
        <v>102</v>
      </c>
      <c r="T23" s="225" t="s">
        <v>171</v>
      </c>
      <c r="U23" s="225" t="s">
        <v>234</v>
      </c>
      <c r="V23" s="225" t="s">
        <v>237</v>
      </c>
    </row>
    <row r="24" spans="2:22" ht="15" customHeight="1" x14ac:dyDescent="0.25">
      <c r="B24" s="225" t="s">
        <v>81</v>
      </c>
      <c r="C24" s="225" t="s">
        <v>130</v>
      </c>
      <c r="D24" s="225" t="s">
        <v>105</v>
      </c>
      <c r="E24" s="225" t="s">
        <v>94</v>
      </c>
      <c r="F24" s="225" t="s">
        <v>69</v>
      </c>
      <c r="G24" s="225" t="s">
        <v>117</v>
      </c>
      <c r="H24" s="225" t="s">
        <v>114</v>
      </c>
      <c r="I24" s="225" t="s">
        <v>114</v>
      </c>
      <c r="L24" s="225" t="s">
        <v>104</v>
      </c>
      <c r="M24" s="225" t="s">
        <v>76</v>
      </c>
      <c r="N24" s="225" t="s">
        <v>101</v>
      </c>
      <c r="O24" s="225" t="s">
        <v>76</v>
      </c>
      <c r="T24" s="225" t="s">
        <v>94</v>
      </c>
      <c r="U24" s="225" t="s">
        <v>235</v>
      </c>
      <c r="V24" s="225" t="s">
        <v>231</v>
      </c>
    </row>
    <row r="25" spans="2:22" ht="15" customHeight="1" x14ac:dyDescent="0.25">
      <c r="B25" s="225"/>
      <c r="C25" s="225" t="s">
        <v>87</v>
      </c>
      <c r="D25" s="225" t="s">
        <v>97</v>
      </c>
      <c r="E25" s="225" t="s">
        <v>107</v>
      </c>
      <c r="F25" s="225" t="s">
        <v>113</v>
      </c>
      <c r="G25" s="225" t="s">
        <v>89</v>
      </c>
      <c r="H25" s="225" t="s">
        <v>91</v>
      </c>
      <c r="I25" s="225" t="s">
        <v>93</v>
      </c>
      <c r="L25" s="225" t="s">
        <v>99</v>
      </c>
      <c r="M25" s="225" t="s">
        <v>108</v>
      </c>
      <c r="N25" s="225" t="s">
        <v>110</v>
      </c>
      <c r="O25" s="225" t="s">
        <v>111</v>
      </c>
      <c r="T25" s="225" t="s">
        <v>107</v>
      </c>
      <c r="U25" s="225" t="s">
        <v>236</v>
      </c>
      <c r="V25" s="225" t="s">
        <v>238</v>
      </c>
    </row>
    <row r="26" spans="2:22" ht="15" customHeight="1" thickBot="1" x14ac:dyDescent="0.3">
      <c r="B26" s="176"/>
      <c r="C26" s="176" t="s">
        <v>75</v>
      </c>
      <c r="D26" s="176" t="s">
        <v>96</v>
      </c>
      <c r="E26" s="176" t="s">
        <v>95</v>
      </c>
      <c r="F26" s="176" t="s">
        <v>79</v>
      </c>
      <c r="G26" s="176" t="s">
        <v>92</v>
      </c>
      <c r="H26" s="176" t="s">
        <v>90</v>
      </c>
      <c r="I26" s="176" t="s">
        <v>90</v>
      </c>
      <c r="L26" s="225" t="s">
        <v>100</v>
      </c>
      <c r="M26" s="225" t="s">
        <v>77</v>
      </c>
      <c r="N26" s="230"/>
      <c r="O26" s="225" t="s">
        <v>129</v>
      </c>
      <c r="T26" s="176" t="s">
        <v>80</v>
      </c>
      <c r="U26" s="225" t="s">
        <v>233</v>
      </c>
      <c r="V26" s="225" t="s">
        <v>80</v>
      </c>
    </row>
    <row r="27" spans="2:22" ht="15" customHeight="1" x14ac:dyDescent="0.25">
      <c r="B27" s="10" t="s">
        <v>83</v>
      </c>
      <c r="C27" s="10">
        <v>1.5</v>
      </c>
      <c r="D27" s="10">
        <v>12</v>
      </c>
      <c r="E27" s="11">
        <v>1.702</v>
      </c>
      <c r="F27" s="11">
        <v>0.38</v>
      </c>
      <c r="G27" s="11">
        <v>0.129</v>
      </c>
      <c r="H27" s="11">
        <v>0.17199999999999999</v>
      </c>
      <c r="I27" s="11">
        <f t="shared" ref="I27:I35" si="4">1.12*H27</f>
        <v>0.19264000000000001</v>
      </c>
      <c r="L27" s="10">
        <v>60000</v>
      </c>
      <c r="M27" s="6">
        <f t="shared" ref="M27:M35" si="5">L27*I27</f>
        <v>11558.4</v>
      </c>
      <c r="N27" s="21">
        <v>0.9</v>
      </c>
      <c r="O27" s="6">
        <f t="shared" ref="O27:O35" si="6">N27*M27/12</f>
        <v>866.88</v>
      </c>
      <c r="T27" s="21">
        <v>11.09</v>
      </c>
      <c r="U27" s="11">
        <f t="shared" ref="U27:U35" si="7">(PI()*(1/2)^2)*4/27</f>
        <v>0.11635528346628864</v>
      </c>
      <c r="V27" s="11">
        <f t="shared" ref="V27:V35" si="8">1.502*3.75*4+0.376*2*PI()*0.5/2*4</f>
        <v>24.892477675499524</v>
      </c>
    </row>
    <row r="28" spans="2:22" ht="15" customHeight="1" x14ac:dyDescent="0.25">
      <c r="B28" s="42" t="s">
        <v>161</v>
      </c>
      <c r="C28" s="42">
        <v>1.75</v>
      </c>
      <c r="D28" s="42">
        <v>14</v>
      </c>
      <c r="E28" s="43">
        <v>1.8819999999999999</v>
      </c>
      <c r="F28" s="43">
        <v>0.39200000000000002</v>
      </c>
      <c r="G28" s="43">
        <v>0.20100000000000001</v>
      </c>
      <c r="H28" s="43">
        <v>0.23</v>
      </c>
      <c r="I28" s="43">
        <f>1.12*H28</f>
        <v>0.25760000000000005</v>
      </c>
      <c r="L28" s="42">
        <v>60000</v>
      </c>
      <c r="M28" s="44">
        <f>L28*I28</f>
        <v>15456.000000000004</v>
      </c>
      <c r="N28" s="45">
        <v>0.9</v>
      </c>
      <c r="O28" s="44">
        <f>N28*M28/12</f>
        <v>1159.2000000000003</v>
      </c>
      <c r="T28" s="45">
        <v>8.66</v>
      </c>
      <c r="U28" s="43">
        <f t="shared" si="7"/>
        <v>0.11635528346628864</v>
      </c>
      <c r="V28" s="43">
        <f t="shared" si="8"/>
        <v>24.892477675499524</v>
      </c>
    </row>
    <row r="29" spans="2:22" ht="15" customHeight="1" x14ac:dyDescent="0.25">
      <c r="B29" s="12" t="s">
        <v>84</v>
      </c>
      <c r="C29" s="12">
        <v>1.75</v>
      </c>
      <c r="D29" s="12">
        <v>12</v>
      </c>
      <c r="E29" s="13">
        <v>2.06</v>
      </c>
      <c r="F29" s="13">
        <v>0.48499999999999999</v>
      </c>
      <c r="G29" s="13">
        <v>0.23100000000000001</v>
      </c>
      <c r="H29" s="13">
        <v>0.26400000000000001</v>
      </c>
      <c r="I29" s="13">
        <f t="shared" si="4"/>
        <v>0.29568000000000005</v>
      </c>
      <c r="L29" s="12">
        <v>60000</v>
      </c>
      <c r="M29" s="8">
        <f t="shared" si="5"/>
        <v>17740.800000000003</v>
      </c>
      <c r="N29" s="18">
        <v>0.9</v>
      </c>
      <c r="O29" s="8">
        <f t="shared" si="6"/>
        <v>1330.5600000000002</v>
      </c>
      <c r="T29" s="18">
        <v>12.96</v>
      </c>
      <c r="U29" s="13">
        <f t="shared" si="7"/>
        <v>0.11635528346628864</v>
      </c>
      <c r="V29" s="13">
        <f t="shared" si="8"/>
        <v>24.892477675499524</v>
      </c>
    </row>
    <row r="30" spans="2:22" ht="15" customHeight="1" x14ac:dyDescent="0.25">
      <c r="B30" s="46" t="s">
        <v>162</v>
      </c>
      <c r="C30" s="46">
        <v>2</v>
      </c>
      <c r="D30" s="46">
        <v>14</v>
      </c>
      <c r="E30" s="47">
        <v>2.1640000000000001</v>
      </c>
      <c r="F30" s="47">
        <v>0.47399999999999998</v>
      </c>
      <c r="G30" s="47">
        <v>0.29599999999999999</v>
      </c>
      <c r="H30" s="47">
        <v>0.29599999999999999</v>
      </c>
      <c r="I30" s="47">
        <f>1.12*H30</f>
        <v>0.33152000000000004</v>
      </c>
      <c r="L30" s="46">
        <v>60000</v>
      </c>
      <c r="M30" s="48">
        <f>L30*I30</f>
        <v>19891.2</v>
      </c>
      <c r="N30" s="49">
        <v>0.9</v>
      </c>
      <c r="O30" s="48">
        <f>N30*M30/12</f>
        <v>1491.8400000000001</v>
      </c>
      <c r="T30" s="49">
        <v>9.94</v>
      </c>
      <c r="U30" s="47">
        <f t="shared" si="7"/>
        <v>0.11635528346628864</v>
      </c>
      <c r="V30" s="47">
        <f t="shared" si="8"/>
        <v>24.892477675499524</v>
      </c>
    </row>
    <row r="31" spans="2:22" ht="15" customHeight="1" x14ac:dyDescent="0.25">
      <c r="B31" s="14" t="s">
        <v>85</v>
      </c>
      <c r="C31" s="14">
        <v>2</v>
      </c>
      <c r="D31" s="14">
        <v>12</v>
      </c>
      <c r="E31" s="15">
        <v>2.4159999999999999</v>
      </c>
      <c r="F31" s="15">
        <v>0.59</v>
      </c>
      <c r="G31" s="15">
        <v>0.372</v>
      </c>
      <c r="H31" s="15">
        <v>0.372</v>
      </c>
      <c r="I31" s="15">
        <f t="shared" si="4"/>
        <v>0.41664000000000001</v>
      </c>
      <c r="L31" s="14">
        <v>60000</v>
      </c>
      <c r="M31" s="7">
        <f t="shared" si="5"/>
        <v>24998.400000000001</v>
      </c>
      <c r="N31" s="19">
        <v>0.9</v>
      </c>
      <c r="O31" s="7">
        <f t="shared" si="6"/>
        <v>1874.88</v>
      </c>
      <c r="T31" s="19">
        <v>14.84</v>
      </c>
      <c r="U31" s="15">
        <f t="shared" si="7"/>
        <v>0.11635528346628864</v>
      </c>
      <c r="V31" s="15">
        <f t="shared" si="8"/>
        <v>24.892477675499524</v>
      </c>
    </row>
    <row r="32" spans="2:22" ht="15" customHeight="1" x14ac:dyDescent="0.25">
      <c r="B32" s="16" t="s">
        <v>86</v>
      </c>
      <c r="C32" s="16">
        <v>2.25</v>
      </c>
      <c r="D32" s="16">
        <v>12</v>
      </c>
      <c r="E32" s="17">
        <v>2.7730000000000001</v>
      </c>
      <c r="F32" s="17">
        <v>0.69499999999999995</v>
      </c>
      <c r="G32" s="17">
        <v>0.56100000000000005</v>
      </c>
      <c r="H32" s="17">
        <v>0.499</v>
      </c>
      <c r="I32" s="17">
        <f t="shared" si="4"/>
        <v>0.55888000000000004</v>
      </c>
      <c r="L32" s="16">
        <v>60000</v>
      </c>
      <c r="M32" s="9">
        <f t="shared" si="5"/>
        <v>33532.800000000003</v>
      </c>
      <c r="N32" s="20">
        <v>0.9</v>
      </c>
      <c r="O32" s="9">
        <f t="shared" si="6"/>
        <v>2514.9600000000005</v>
      </c>
      <c r="T32" s="20">
        <v>14.84</v>
      </c>
      <c r="U32" s="17">
        <f t="shared" si="7"/>
        <v>0.11635528346628864</v>
      </c>
      <c r="V32" s="17">
        <f t="shared" si="8"/>
        <v>24.892477675499524</v>
      </c>
    </row>
    <row r="33" spans="2:22" ht="15" customHeight="1" x14ac:dyDescent="0.25">
      <c r="B33" s="77" t="s">
        <v>163</v>
      </c>
      <c r="C33" s="77">
        <v>2.1875</v>
      </c>
      <c r="D33" s="77">
        <v>14</v>
      </c>
      <c r="E33" s="78">
        <v>3.43</v>
      </c>
      <c r="F33" s="78">
        <v>0.84099999999999997</v>
      </c>
      <c r="G33" s="78">
        <v>0.60499999999999998</v>
      </c>
      <c r="H33" s="78">
        <v>0.53300000000000003</v>
      </c>
      <c r="I33" s="78">
        <f>1.12*H33</f>
        <v>0.59696000000000005</v>
      </c>
      <c r="L33" s="77">
        <v>60000</v>
      </c>
      <c r="M33" s="81">
        <f>L33*I33</f>
        <v>35817.600000000006</v>
      </c>
      <c r="N33" s="82">
        <v>0.9</v>
      </c>
      <c r="O33" s="81">
        <f>N33*M33/12</f>
        <v>2686.3200000000006</v>
      </c>
      <c r="T33" s="82">
        <v>22.3</v>
      </c>
      <c r="U33" s="78">
        <f t="shared" si="7"/>
        <v>0.11635528346628864</v>
      </c>
      <c r="V33" s="78">
        <f t="shared" si="8"/>
        <v>24.892477675499524</v>
      </c>
    </row>
    <row r="34" spans="2:22" ht="15" customHeight="1" x14ac:dyDescent="0.25">
      <c r="B34" s="75" t="s">
        <v>88</v>
      </c>
      <c r="C34" s="75">
        <v>2.5</v>
      </c>
      <c r="D34" s="75">
        <v>12</v>
      </c>
      <c r="E34" s="76">
        <v>3.141</v>
      </c>
      <c r="F34" s="76">
        <v>0.80300000000000005</v>
      </c>
      <c r="G34" s="76">
        <v>0.80400000000000005</v>
      </c>
      <c r="H34" s="76">
        <v>0.64300000000000002</v>
      </c>
      <c r="I34" s="76">
        <f t="shared" si="4"/>
        <v>0.72016000000000013</v>
      </c>
      <c r="L34" s="75">
        <v>60000</v>
      </c>
      <c r="M34" s="79">
        <f t="shared" si="5"/>
        <v>43209.600000000006</v>
      </c>
      <c r="N34" s="80">
        <v>0.9</v>
      </c>
      <c r="O34" s="79">
        <f t="shared" si="6"/>
        <v>3240.7200000000007</v>
      </c>
      <c r="T34" s="80">
        <v>23.72</v>
      </c>
      <c r="U34" s="76">
        <f t="shared" si="7"/>
        <v>0.11635528346628864</v>
      </c>
      <c r="V34" s="76">
        <f t="shared" si="8"/>
        <v>24.892477675499524</v>
      </c>
    </row>
    <row r="35" spans="2:22" ht="15" customHeight="1" thickBot="1" x14ac:dyDescent="0.3">
      <c r="B35" s="55" t="s">
        <v>160</v>
      </c>
      <c r="C35" s="55">
        <v>2.5</v>
      </c>
      <c r="D35" s="55">
        <v>10</v>
      </c>
      <c r="E35" s="57">
        <v>4.0060000000000002</v>
      </c>
      <c r="F35" s="57">
        <v>1.01</v>
      </c>
      <c r="G35" s="57">
        <v>0.97899999999999998</v>
      </c>
      <c r="H35" s="57">
        <v>0.78300000000000003</v>
      </c>
      <c r="I35" s="57">
        <f t="shared" si="4"/>
        <v>0.87696000000000007</v>
      </c>
      <c r="L35" s="55">
        <v>60000</v>
      </c>
      <c r="M35" s="59">
        <f t="shared" si="5"/>
        <v>52617.600000000006</v>
      </c>
      <c r="N35" s="61">
        <v>0.9</v>
      </c>
      <c r="O35" s="59">
        <f t="shared" si="6"/>
        <v>3946.32</v>
      </c>
      <c r="T35" s="61">
        <v>24.59</v>
      </c>
      <c r="U35" s="57">
        <f t="shared" si="7"/>
        <v>0.11635528346628864</v>
      </c>
      <c r="V35" s="57">
        <f t="shared" si="8"/>
        <v>24.892477675499524</v>
      </c>
    </row>
    <row r="36" spans="2:22" ht="15" customHeight="1" x14ac:dyDescent="0.25">
      <c r="B36" s="105"/>
      <c r="C36" s="112"/>
      <c r="D36" s="112"/>
      <c r="E36" s="231"/>
      <c r="F36" s="232"/>
      <c r="G36" s="112"/>
      <c r="H36" s="232"/>
      <c r="I36" s="232"/>
      <c r="J36" s="232"/>
      <c r="K36" s="232"/>
      <c r="L36" s="112"/>
      <c r="M36" s="120"/>
      <c r="N36" s="117"/>
      <c r="O36" s="120"/>
    </row>
    <row r="37" spans="2:22" ht="15" customHeight="1" x14ac:dyDescent="0.25">
      <c r="B37" s="148" t="s">
        <v>125</v>
      </c>
      <c r="C37" s="62" t="s">
        <v>268</v>
      </c>
      <c r="R37" s="67"/>
    </row>
    <row r="38" spans="2:22" ht="15" customHeight="1" x14ac:dyDescent="0.25">
      <c r="C38" s="62" t="s">
        <v>269</v>
      </c>
    </row>
    <row r="39" spans="2:22" ht="15" customHeight="1" x14ac:dyDescent="0.25">
      <c r="C39" s="62" t="s">
        <v>275</v>
      </c>
    </row>
    <row r="41" spans="2:22" ht="15" customHeight="1" thickBot="1" x14ac:dyDescent="0.3"/>
    <row r="42" spans="2:22" ht="30" customHeight="1" thickBot="1" x14ac:dyDescent="0.3">
      <c r="C42" s="267" t="s">
        <v>195</v>
      </c>
      <c r="D42" s="268"/>
      <c r="E42" s="268"/>
      <c r="F42" s="268"/>
      <c r="G42" s="268"/>
      <c r="H42" s="268"/>
      <c r="I42" s="269"/>
    </row>
    <row r="43" spans="2:22" ht="15" customHeight="1" thickBot="1" x14ac:dyDescent="0.3">
      <c r="B43" s="193"/>
      <c r="C43" s="225"/>
      <c r="D43" s="235"/>
      <c r="E43" s="193"/>
      <c r="F43" s="226"/>
      <c r="G43" s="227"/>
      <c r="H43" s="227"/>
      <c r="I43" s="227"/>
      <c r="L43" s="228" t="s">
        <v>126</v>
      </c>
      <c r="M43" s="84"/>
      <c r="N43" s="84"/>
      <c r="O43" s="229"/>
      <c r="R43" s="236" t="s">
        <v>229</v>
      </c>
      <c r="S43" s="236"/>
      <c r="T43" s="236"/>
      <c r="U43" s="86"/>
      <c r="V43" s="86"/>
    </row>
    <row r="44" spans="2:22" ht="15" customHeight="1" x14ac:dyDescent="0.25">
      <c r="B44" s="225" t="s">
        <v>82</v>
      </c>
      <c r="C44" s="225" t="s">
        <v>178</v>
      </c>
      <c r="D44" s="235"/>
      <c r="E44" s="225" t="s">
        <v>98</v>
      </c>
      <c r="F44" s="225"/>
      <c r="G44" s="225" t="s">
        <v>76</v>
      </c>
      <c r="H44" s="225" t="s">
        <v>116</v>
      </c>
      <c r="I44" s="225" t="s">
        <v>115</v>
      </c>
      <c r="L44" s="193" t="s">
        <v>103</v>
      </c>
      <c r="M44" s="193" t="s">
        <v>98</v>
      </c>
      <c r="N44" s="193" t="s">
        <v>109</v>
      </c>
      <c r="O44" s="193" t="s">
        <v>102</v>
      </c>
      <c r="R44" s="225" t="s">
        <v>227</v>
      </c>
      <c r="S44" s="225" t="s">
        <v>230</v>
      </c>
      <c r="T44" s="225" t="s">
        <v>171</v>
      </c>
      <c r="U44" s="193" t="s">
        <v>234</v>
      </c>
      <c r="V44" s="193" t="s">
        <v>237</v>
      </c>
    </row>
    <row r="45" spans="2:22" ht="15" customHeight="1" x14ac:dyDescent="0.25">
      <c r="B45" s="225" t="s">
        <v>81</v>
      </c>
      <c r="C45" s="225" t="s">
        <v>179</v>
      </c>
      <c r="D45" s="235"/>
      <c r="E45" s="225" t="s">
        <v>94</v>
      </c>
      <c r="F45" s="225" t="s">
        <v>69</v>
      </c>
      <c r="G45" s="225" t="s">
        <v>117</v>
      </c>
      <c r="H45" s="225" t="s">
        <v>114</v>
      </c>
      <c r="I45" s="225" t="s">
        <v>114</v>
      </c>
      <c r="L45" s="225" t="s">
        <v>104</v>
      </c>
      <c r="M45" s="225" t="s">
        <v>76</v>
      </c>
      <c r="N45" s="225" t="s">
        <v>101</v>
      </c>
      <c r="O45" s="225" t="s">
        <v>76</v>
      </c>
      <c r="R45" s="225" t="s">
        <v>244</v>
      </c>
      <c r="S45" s="225" t="s">
        <v>244</v>
      </c>
      <c r="T45" s="225" t="s">
        <v>94</v>
      </c>
      <c r="U45" s="225" t="s">
        <v>235</v>
      </c>
      <c r="V45" s="225" t="s">
        <v>231</v>
      </c>
    </row>
    <row r="46" spans="2:22" ht="15" customHeight="1" x14ac:dyDescent="0.25">
      <c r="B46" s="225"/>
      <c r="C46" s="225" t="s">
        <v>87</v>
      </c>
      <c r="D46" s="235"/>
      <c r="E46" s="225" t="s">
        <v>107</v>
      </c>
      <c r="F46" s="225" t="s">
        <v>113</v>
      </c>
      <c r="G46" s="225" t="s">
        <v>89</v>
      </c>
      <c r="H46" s="225" t="s">
        <v>91</v>
      </c>
      <c r="I46" s="225" t="s">
        <v>93</v>
      </c>
      <c r="L46" s="225" t="s">
        <v>99</v>
      </c>
      <c r="M46" s="225" t="s">
        <v>108</v>
      </c>
      <c r="N46" s="225" t="s">
        <v>110</v>
      </c>
      <c r="O46" s="225" t="s">
        <v>111</v>
      </c>
      <c r="R46" s="225" t="s">
        <v>228</v>
      </c>
      <c r="S46" s="225" t="s">
        <v>228</v>
      </c>
      <c r="T46" s="225" t="s">
        <v>107</v>
      </c>
      <c r="U46" s="225" t="s">
        <v>236</v>
      </c>
      <c r="V46" s="225" t="s">
        <v>238</v>
      </c>
    </row>
    <row r="47" spans="2:22" ht="15" customHeight="1" thickBot="1" x14ac:dyDescent="0.3">
      <c r="B47" s="176"/>
      <c r="C47" s="176"/>
      <c r="D47" s="235"/>
      <c r="E47" s="176" t="s">
        <v>95</v>
      </c>
      <c r="F47" s="176" t="s">
        <v>79</v>
      </c>
      <c r="G47" s="176" t="s">
        <v>92</v>
      </c>
      <c r="H47" s="176" t="s">
        <v>90</v>
      </c>
      <c r="I47" s="176" t="s">
        <v>90</v>
      </c>
      <c r="L47" s="225" t="s">
        <v>100</v>
      </c>
      <c r="M47" s="225" t="s">
        <v>77</v>
      </c>
      <c r="N47" s="230"/>
      <c r="O47" s="225" t="s">
        <v>129</v>
      </c>
      <c r="R47" s="225" t="s">
        <v>127</v>
      </c>
      <c r="S47" s="225" t="s">
        <v>127</v>
      </c>
      <c r="T47" s="225" t="s">
        <v>80</v>
      </c>
      <c r="U47" s="176" t="s">
        <v>233</v>
      </c>
      <c r="V47" s="176" t="s">
        <v>80</v>
      </c>
    </row>
    <row r="48" spans="2:22" ht="15" customHeight="1" x14ac:dyDescent="0.25">
      <c r="B48" s="54" t="s">
        <v>176</v>
      </c>
      <c r="C48" s="54" t="s">
        <v>182</v>
      </c>
      <c r="D48" s="235"/>
      <c r="E48" s="56">
        <v>5.7</v>
      </c>
      <c r="F48" s="56">
        <v>1.66</v>
      </c>
      <c r="G48" s="56">
        <v>2.5</v>
      </c>
      <c r="H48" s="56">
        <v>1.67</v>
      </c>
      <c r="I48" s="56">
        <v>1.94</v>
      </c>
      <c r="L48" s="54">
        <v>36000</v>
      </c>
      <c r="M48" s="58">
        <f>L48*I48</f>
        <v>69840</v>
      </c>
      <c r="N48" s="60">
        <v>0.9</v>
      </c>
      <c r="O48" s="58">
        <f>N48*M48/12</f>
        <v>5238</v>
      </c>
      <c r="P48" s="2"/>
      <c r="Q48" s="2"/>
      <c r="R48" s="60">
        <v>1.25</v>
      </c>
      <c r="S48" s="60">
        <v>4</v>
      </c>
      <c r="T48" s="56">
        <f>E48*(2+2.5/12)</f>
        <v>12.5875</v>
      </c>
      <c r="U48" s="15">
        <f>(PI()*(R48/2)^2*S48-(F48/144)*(2+2.5/12))/27</f>
        <v>0.18086227204844912</v>
      </c>
      <c r="V48" s="15">
        <f>8*1.502*3.75+4*0.376*2*PI()*(R48-2*0.25)/2</f>
        <v>48.603716513249289</v>
      </c>
    </row>
    <row r="49" spans="2:22" ht="15" customHeight="1" x14ac:dyDescent="0.25">
      <c r="B49" s="16" t="s">
        <v>177</v>
      </c>
      <c r="C49" s="16" t="s">
        <v>183</v>
      </c>
      <c r="D49" s="235"/>
      <c r="E49" s="17">
        <v>7.7</v>
      </c>
      <c r="F49" s="17">
        <v>2.2599999999999998</v>
      </c>
      <c r="G49" s="17">
        <v>6.05</v>
      </c>
      <c r="H49" s="17">
        <v>3.03</v>
      </c>
      <c r="I49" s="17">
        <v>3.5</v>
      </c>
      <c r="L49" s="16">
        <v>36000</v>
      </c>
      <c r="M49" s="9">
        <f>L49*I49</f>
        <v>126000</v>
      </c>
      <c r="N49" s="20">
        <v>0.9</v>
      </c>
      <c r="O49" s="9">
        <f>N49*M49/12</f>
        <v>9450</v>
      </c>
      <c r="P49" s="2"/>
      <c r="Q49" s="2"/>
      <c r="R49" s="20">
        <v>1.25</v>
      </c>
      <c r="S49" s="20">
        <v>4</v>
      </c>
      <c r="T49" s="17">
        <f>E49*(2+2.5/12)</f>
        <v>17.004166666666666</v>
      </c>
      <c r="U49" s="17">
        <f t="shared" ref="U49:U51" si="9">(PI()*(R49/2)^2*S49-(F49/144)*(2+2.5/12))/27</f>
        <v>0.18052147986737915</v>
      </c>
      <c r="V49" s="17">
        <f>8*1.502*3.75+4*0.376*2*PI()*(R49-2*0.25)/2</f>
        <v>48.603716513249289</v>
      </c>
    </row>
    <row r="50" spans="2:22" ht="15" customHeight="1" x14ac:dyDescent="0.25">
      <c r="B50" s="34" t="s">
        <v>180</v>
      </c>
      <c r="C50" s="34" t="s">
        <v>184</v>
      </c>
      <c r="D50" s="235"/>
      <c r="E50" s="35">
        <v>10</v>
      </c>
      <c r="F50" s="35">
        <v>2.93</v>
      </c>
      <c r="G50" s="35">
        <v>12.3</v>
      </c>
      <c r="H50" s="35">
        <v>4.9000000000000004</v>
      </c>
      <c r="I50" s="35">
        <v>5.66</v>
      </c>
      <c r="L50" s="34">
        <v>36000</v>
      </c>
      <c r="M50" s="38">
        <f>L50*I50</f>
        <v>203760</v>
      </c>
      <c r="N50" s="39">
        <v>0.9</v>
      </c>
      <c r="O50" s="38">
        <f>N50*M50/12</f>
        <v>15282</v>
      </c>
      <c r="P50" s="2"/>
      <c r="Q50" s="2"/>
      <c r="R50" s="39">
        <v>1.25</v>
      </c>
      <c r="S50" s="39">
        <v>4</v>
      </c>
      <c r="T50" s="35">
        <f>E50*(2+2.5/12)</f>
        <v>22.083333333333336</v>
      </c>
      <c r="U50" s="35">
        <f t="shared" si="9"/>
        <v>0.18014092859851769</v>
      </c>
      <c r="V50" s="35">
        <f>8*1.502*3.75+4*0.376*2*PI()*(R50-2*0.25)/2</f>
        <v>48.603716513249289</v>
      </c>
    </row>
    <row r="51" spans="2:22" ht="15" customHeight="1" thickBot="1" x14ac:dyDescent="0.3">
      <c r="B51" s="55" t="s">
        <v>181</v>
      </c>
      <c r="C51" s="55" t="s">
        <v>185</v>
      </c>
      <c r="D51" s="235"/>
      <c r="E51" s="57">
        <v>12.5</v>
      </c>
      <c r="F51" s="57">
        <v>3.66</v>
      </c>
      <c r="G51" s="57">
        <v>22</v>
      </c>
      <c r="H51" s="57">
        <v>7.34</v>
      </c>
      <c r="I51" s="57">
        <v>8.4499999999999993</v>
      </c>
      <c r="L51" s="55">
        <v>36000</v>
      </c>
      <c r="M51" s="59">
        <f>L51*I51</f>
        <v>304200</v>
      </c>
      <c r="N51" s="61">
        <v>0.9</v>
      </c>
      <c r="O51" s="59">
        <f>N51*M51/12</f>
        <v>22815</v>
      </c>
      <c r="P51" s="2"/>
      <c r="Q51" s="2"/>
      <c r="R51" s="61">
        <v>1.25</v>
      </c>
      <c r="S51" s="61">
        <v>4</v>
      </c>
      <c r="T51" s="57">
        <f>E51*(2+2.5/12)</f>
        <v>27.604166666666668</v>
      </c>
      <c r="U51" s="57">
        <f t="shared" si="9"/>
        <v>0.17972629811154925</v>
      </c>
      <c r="V51" s="57">
        <f>8*1.502*3.75+4*0.376*2*PI()*(R51-2*0.25)/2</f>
        <v>48.603716513249289</v>
      </c>
    </row>
    <row r="52" spans="2:22" ht="15" customHeight="1" x14ac:dyDescent="0.25">
      <c r="B52" s="105"/>
      <c r="C52" s="112"/>
      <c r="D52" s="112"/>
      <c r="E52" s="231"/>
      <c r="F52" s="232"/>
      <c r="G52" s="112"/>
      <c r="H52" s="232"/>
      <c r="I52" s="232"/>
      <c r="J52" s="232"/>
      <c r="K52" s="232"/>
      <c r="L52" s="112"/>
      <c r="M52" s="120"/>
      <c r="N52" s="117"/>
      <c r="O52" s="120"/>
    </row>
    <row r="53" spans="2:22" ht="15" customHeight="1" x14ac:dyDescent="0.25">
      <c r="B53" s="148" t="s">
        <v>125</v>
      </c>
      <c r="C53" s="62" t="s">
        <v>271</v>
      </c>
    </row>
    <row r="55" spans="2:22" ht="15" customHeight="1" thickBot="1" x14ac:dyDescent="0.3"/>
    <row r="56" spans="2:22" ht="30" customHeight="1" thickBot="1" x14ac:dyDescent="0.3">
      <c r="C56" s="267" t="s">
        <v>217</v>
      </c>
      <c r="D56" s="268"/>
      <c r="E56" s="268"/>
      <c r="F56" s="268"/>
      <c r="G56" s="268"/>
      <c r="H56" s="268"/>
      <c r="I56" s="269"/>
    </row>
    <row r="57" spans="2:22" ht="15" customHeight="1" thickBot="1" x14ac:dyDescent="0.3">
      <c r="B57" s="193"/>
      <c r="C57" s="225"/>
      <c r="D57" s="235"/>
      <c r="E57" s="193"/>
      <c r="F57" s="226"/>
      <c r="G57" s="227"/>
      <c r="H57" s="227"/>
      <c r="I57" s="227"/>
      <c r="L57" s="228" t="s">
        <v>126</v>
      </c>
      <c r="M57" s="84"/>
      <c r="N57" s="84"/>
      <c r="O57" s="229"/>
      <c r="R57" s="236" t="s">
        <v>229</v>
      </c>
      <c r="S57" s="236"/>
      <c r="T57" s="236"/>
      <c r="U57" s="86"/>
      <c r="V57" s="86"/>
    </row>
    <row r="58" spans="2:22" ht="15" customHeight="1" x14ac:dyDescent="0.25">
      <c r="B58" s="225" t="s">
        <v>82</v>
      </c>
      <c r="C58" s="225" t="s">
        <v>194</v>
      </c>
      <c r="D58" s="235"/>
      <c r="E58" s="225" t="s">
        <v>98</v>
      </c>
      <c r="F58" s="225"/>
      <c r="G58" s="225" t="s">
        <v>76</v>
      </c>
      <c r="H58" s="225" t="s">
        <v>116</v>
      </c>
      <c r="I58" s="225" t="s">
        <v>115</v>
      </c>
      <c r="L58" s="193" t="s">
        <v>103</v>
      </c>
      <c r="M58" s="193" t="s">
        <v>98</v>
      </c>
      <c r="N58" s="193" t="s">
        <v>109</v>
      </c>
      <c r="O58" s="193" t="s">
        <v>102</v>
      </c>
      <c r="R58" s="225" t="s">
        <v>227</v>
      </c>
      <c r="S58" s="225" t="s">
        <v>171</v>
      </c>
      <c r="T58" s="225" t="s">
        <v>171</v>
      </c>
      <c r="U58" s="225" t="s">
        <v>234</v>
      </c>
      <c r="V58" s="225" t="s">
        <v>237</v>
      </c>
    </row>
    <row r="59" spans="2:22" ht="15" customHeight="1" x14ac:dyDescent="0.25">
      <c r="B59" s="225" t="s">
        <v>81</v>
      </c>
      <c r="C59" s="225" t="s">
        <v>179</v>
      </c>
      <c r="D59" s="235"/>
      <c r="E59" s="225" t="s">
        <v>94</v>
      </c>
      <c r="F59" s="225" t="s">
        <v>69</v>
      </c>
      <c r="G59" s="225" t="s">
        <v>117</v>
      </c>
      <c r="H59" s="225" t="s">
        <v>114</v>
      </c>
      <c r="I59" s="225" t="s">
        <v>114</v>
      </c>
      <c r="L59" s="225" t="s">
        <v>104</v>
      </c>
      <c r="M59" s="225" t="s">
        <v>76</v>
      </c>
      <c r="N59" s="225" t="s">
        <v>101</v>
      </c>
      <c r="O59" s="225" t="s">
        <v>76</v>
      </c>
      <c r="R59" s="225" t="s">
        <v>226</v>
      </c>
      <c r="S59" s="225" t="s">
        <v>230</v>
      </c>
      <c r="T59" s="225" t="s">
        <v>94</v>
      </c>
      <c r="U59" s="225" t="s">
        <v>235</v>
      </c>
      <c r="V59" s="225" t="s">
        <v>231</v>
      </c>
    </row>
    <row r="60" spans="2:22" ht="15" customHeight="1" x14ac:dyDescent="0.25">
      <c r="B60" s="225"/>
      <c r="C60" s="225" t="s">
        <v>87</v>
      </c>
      <c r="D60" s="235"/>
      <c r="E60" s="225" t="s">
        <v>107</v>
      </c>
      <c r="F60" s="225" t="s">
        <v>113</v>
      </c>
      <c r="G60" s="225" t="s">
        <v>89</v>
      </c>
      <c r="H60" s="225" t="s">
        <v>91</v>
      </c>
      <c r="I60" s="225" t="s">
        <v>93</v>
      </c>
      <c r="L60" s="225" t="s">
        <v>99</v>
      </c>
      <c r="M60" s="225" t="s">
        <v>108</v>
      </c>
      <c r="N60" s="225" t="s">
        <v>110</v>
      </c>
      <c r="O60" s="225" t="s">
        <v>111</v>
      </c>
      <c r="R60" s="225" t="s">
        <v>228</v>
      </c>
      <c r="S60" s="225" t="s">
        <v>232</v>
      </c>
      <c r="T60" s="225" t="s">
        <v>107</v>
      </c>
      <c r="U60" s="225" t="s">
        <v>236</v>
      </c>
      <c r="V60" s="225" t="s">
        <v>238</v>
      </c>
    </row>
    <row r="61" spans="2:22" ht="15" customHeight="1" thickBot="1" x14ac:dyDescent="0.3">
      <c r="B61" s="176"/>
      <c r="C61" s="176"/>
      <c r="D61" s="235"/>
      <c r="E61" s="225" t="s">
        <v>95</v>
      </c>
      <c r="F61" s="225" t="s">
        <v>79</v>
      </c>
      <c r="G61" s="225" t="s">
        <v>92</v>
      </c>
      <c r="H61" s="225" t="s">
        <v>90</v>
      </c>
      <c r="I61" s="225" t="s">
        <v>90</v>
      </c>
      <c r="L61" s="225" t="s">
        <v>100</v>
      </c>
      <c r="M61" s="225" t="s">
        <v>77</v>
      </c>
      <c r="N61" s="230"/>
      <c r="O61" s="225" t="s">
        <v>129</v>
      </c>
      <c r="R61" s="225" t="s">
        <v>127</v>
      </c>
      <c r="S61" s="225" t="s">
        <v>127</v>
      </c>
      <c r="T61" s="225" t="s">
        <v>80</v>
      </c>
      <c r="U61" s="225" t="s">
        <v>233</v>
      </c>
      <c r="V61" s="225" t="s">
        <v>80</v>
      </c>
    </row>
    <row r="62" spans="2:22" ht="15" customHeight="1" x14ac:dyDescent="0.25">
      <c r="B62" s="10" t="s">
        <v>196</v>
      </c>
      <c r="C62" s="10" t="s">
        <v>203</v>
      </c>
      <c r="D62" s="235"/>
      <c r="E62" s="11">
        <v>15</v>
      </c>
      <c r="F62" s="11">
        <v>4.43</v>
      </c>
      <c r="G62" s="11">
        <v>29.1</v>
      </c>
      <c r="H62" s="11">
        <v>9.7200000000000006</v>
      </c>
      <c r="I62" s="11">
        <v>10.8</v>
      </c>
      <c r="L62" s="10">
        <v>36000</v>
      </c>
      <c r="M62" s="6">
        <f>L62*I62</f>
        <v>388800</v>
      </c>
      <c r="N62" s="21">
        <v>0.9</v>
      </c>
      <c r="O62" s="6">
        <f>N62*M62/12</f>
        <v>29160</v>
      </c>
      <c r="R62" s="21">
        <v>1.25</v>
      </c>
      <c r="S62" s="21">
        <v>2.5</v>
      </c>
      <c r="T62" s="11">
        <f>E62*S62</f>
        <v>37.5</v>
      </c>
      <c r="U62" s="11">
        <f>(PI()*(R62/2)^2-(F62/144))*S62/27</f>
        <v>0.11077969827959483</v>
      </c>
      <c r="V62" s="11">
        <f>1.502*S62*8+3*0.376*2*PI()*(R62-2*0.25)/2</f>
        <v>32.697787384936966</v>
      </c>
    </row>
    <row r="63" spans="2:22" ht="15" customHeight="1" x14ac:dyDescent="0.25">
      <c r="B63" s="12" t="s">
        <v>197</v>
      </c>
      <c r="C63" s="12" t="s">
        <v>204</v>
      </c>
      <c r="D63" s="235"/>
      <c r="E63" s="13">
        <v>20</v>
      </c>
      <c r="F63" s="13">
        <v>5.87</v>
      </c>
      <c r="G63" s="13">
        <v>41.4</v>
      </c>
      <c r="H63" s="13">
        <v>13.4</v>
      </c>
      <c r="I63" s="13">
        <v>14.9</v>
      </c>
      <c r="L63" s="12">
        <v>36000</v>
      </c>
      <c r="M63" s="8">
        <f>L63*I63</f>
        <v>536400</v>
      </c>
      <c r="N63" s="18">
        <v>0.9</v>
      </c>
      <c r="O63" s="8">
        <f>N63*M63/12</f>
        <v>40230</v>
      </c>
      <c r="R63" s="18">
        <v>1.25</v>
      </c>
      <c r="S63" s="18">
        <v>2.5</v>
      </c>
      <c r="T63" s="13">
        <f t="shared" ref="T63:T68" si="10">E63*S63</f>
        <v>50</v>
      </c>
      <c r="U63" s="13">
        <f t="shared" ref="U63:U68" si="11">(PI()*(R63/2)^2-(F63/144))*S63/27</f>
        <v>0.1098537723536689</v>
      </c>
      <c r="V63" s="13">
        <f>1.502*S63*8+3*0.376*2*PI()*(R63-2*0.25)/2</f>
        <v>32.697787384936966</v>
      </c>
    </row>
    <row r="64" spans="2:22" ht="15" customHeight="1" x14ac:dyDescent="0.25">
      <c r="B64" s="14" t="s">
        <v>198</v>
      </c>
      <c r="C64" s="14" t="s">
        <v>205</v>
      </c>
      <c r="D64" s="235"/>
      <c r="E64" s="15">
        <v>24</v>
      </c>
      <c r="F64" s="15">
        <v>7.08</v>
      </c>
      <c r="G64" s="15">
        <v>82.7</v>
      </c>
      <c r="H64" s="15">
        <v>20.9</v>
      </c>
      <c r="I64" s="15">
        <v>23.1</v>
      </c>
      <c r="L64" s="14">
        <v>36000</v>
      </c>
      <c r="M64" s="7">
        <f>L64*I64</f>
        <v>831600</v>
      </c>
      <c r="N64" s="19">
        <v>0.9</v>
      </c>
      <c r="O64" s="7">
        <f>N64*M64/12</f>
        <v>62370</v>
      </c>
      <c r="R64" s="19">
        <v>1.5</v>
      </c>
      <c r="S64" s="19">
        <v>3</v>
      </c>
      <c r="T64" s="15">
        <f t="shared" si="10"/>
        <v>72</v>
      </c>
      <c r="U64" s="15">
        <f t="shared" si="11"/>
        <v>0.19088657788639912</v>
      </c>
      <c r="V64" s="15">
        <f>2.044*S64*8+4*0.376*2*PI()*(R64-2*0.25)/2</f>
        <v>53.780955350999044</v>
      </c>
    </row>
    <row r="65" spans="2:22" ht="15" customHeight="1" x14ac:dyDescent="0.25">
      <c r="B65" s="16" t="s">
        <v>199</v>
      </c>
      <c r="C65" s="16" t="s">
        <v>206</v>
      </c>
      <c r="D65" s="235"/>
      <c r="E65" s="17">
        <v>35</v>
      </c>
      <c r="F65" s="17">
        <v>10.3</v>
      </c>
      <c r="G65" s="17">
        <v>127</v>
      </c>
      <c r="H65" s="17">
        <v>31.2</v>
      </c>
      <c r="I65" s="17">
        <v>34.700000000000003</v>
      </c>
      <c r="L65" s="16">
        <v>36000</v>
      </c>
      <c r="M65" s="9">
        <f>L65*I65</f>
        <v>1249200</v>
      </c>
      <c r="N65" s="20">
        <v>0.9</v>
      </c>
      <c r="O65" s="9">
        <f>N65*M65/12</f>
        <v>93690</v>
      </c>
      <c r="R65" s="20">
        <v>1.5</v>
      </c>
      <c r="S65" s="20">
        <v>3</v>
      </c>
      <c r="T65" s="17">
        <f t="shared" si="10"/>
        <v>105</v>
      </c>
      <c r="U65" s="17">
        <f t="shared" si="11"/>
        <v>0.18840200998516451</v>
      </c>
      <c r="V65" s="17">
        <f>2.044*S65*8+4*0.376*2*PI()*(R65-2*0.25)/2</f>
        <v>53.780955350999044</v>
      </c>
    </row>
    <row r="66" spans="2:22" ht="15" customHeight="1" x14ac:dyDescent="0.25">
      <c r="B66" s="22" t="s">
        <v>200</v>
      </c>
      <c r="C66" s="22" t="s">
        <v>207</v>
      </c>
      <c r="D66" s="235"/>
      <c r="E66" s="35">
        <v>30</v>
      </c>
      <c r="F66" s="35">
        <v>8.84</v>
      </c>
      <c r="G66" s="35">
        <v>170</v>
      </c>
      <c r="H66" s="35">
        <v>32.4</v>
      </c>
      <c r="I66" s="35">
        <v>36.6</v>
      </c>
      <c r="L66" s="34">
        <v>36000</v>
      </c>
      <c r="M66" s="38">
        <f t="shared" ref="M66:M68" si="12">L66*I66</f>
        <v>1317600</v>
      </c>
      <c r="N66" s="39">
        <v>0.9</v>
      </c>
      <c r="O66" s="38">
        <f t="shared" ref="O66:O68" si="13">N66*M66/12</f>
        <v>98820</v>
      </c>
      <c r="R66" s="39">
        <v>1.75</v>
      </c>
      <c r="S66" s="39">
        <v>3</v>
      </c>
      <c r="T66" s="35">
        <f t="shared" si="10"/>
        <v>90</v>
      </c>
      <c r="U66" s="35">
        <f t="shared" si="11"/>
        <v>0.26043255405731069</v>
      </c>
      <c r="V66" s="35">
        <f>3.4*S66*8+4*0.376*2*PI()*(R66-2*0.25)/2</f>
        <v>87.506194188748808</v>
      </c>
    </row>
    <row r="67" spans="2:22" ht="15" customHeight="1" x14ac:dyDescent="0.25">
      <c r="B67" s="26" t="s">
        <v>201</v>
      </c>
      <c r="C67" s="26" t="s">
        <v>208</v>
      </c>
      <c r="D67" s="235"/>
      <c r="E67" s="37">
        <v>33</v>
      </c>
      <c r="F67" s="37">
        <v>9.7100000000000009</v>
      </c>
      <c r="G67" s="37">
        <v>171</v>
      </c>
      <c r="H67" s="37">
        <v>35</v>
      </c>
      <c r="I67" s="37">
        <v>38.799999999999997</v>
      </c>
      <c r="L67" s="36">
        <v>36000</v>
      </c>
      <c r="M67" s="40">
        <f t="shared" si="12"/>
        <v>1396800</v>
      </c>
      <c r="N67" s="41">
        <v>0.9</v>
      </c>
      <c r="O67" s="40">
        <f t="shared" si="13"/>
        <v>104760</v>
      </c>
      <c r="R67" s="41">
        <v>1.75</v>
      </c>
      <c r="S67" s="41">
        <v>3</v>
      </c>
      <c r="T67" s="37">
        <f t="shared" si="10"/>
        <v>99</v>
      </c>
      <c r="U67" s="37">
        <f t="shared" si="11"/>
        <v>0.25976125776101439</v>
      </c>
      <c r="V67" s="37">
        <f>3.4*S67*8+4*0.376*2*PI()*(R67-2*0.25)/2</f>
        <v>87.506194188748808</v>
      </c>
    </row>
    <row r="68" spans="2:22" ht="15" customHeight="1" thickBot="1" x14ac:dyDescent="0.3">
      <c r="B68" s="30" t="s">
        <v>202</v>
      </c>
      <c r="C68" s="30" t="s">
        <v>209</v>
      </c>
      <c r="D68" s="235"/>
      <c r="E68" s="31">
        <v>30</v>
      </c>
      <c r="F68" s="31">
        <v>8.7899999999999991</v>
      </c>
      <c r="G68" s="31">
        <v>238</v>
      </c>
      <c r="H68" s="31">
        <v>38.6</v>
      </c>
      <c r="I68" s="31">
        <v>43.1</v>
      </c>
      <c r="L68" s="30">
        <v>36000</v>
      </c>
      <c r="M68" s="32">
        <f t="shared" si="12"/>
        <v>1551600</v>
      </c>
      <c r="N68" s="33">
        <v>0.9</v>
      </c>
      <c r="O68" s="32">
        <f t="shared" si="13"/>
        <v>116370</v>
      </c>
      <c r="R68" s="33">
        <v>2</v>
      </c>
      <c r="S68" s="33">
        <v>3</v>
      </c>
      <c r="T68" s="31">
        <f t="shared" si="10"/>
        <v>90</v>
      </c>
      <c r="U68" s="31">
        <f t="shared" si="11"/>
        <v>0.34228344299145846</v>
      </c>
      <c r="V68" s="31">
        <f>5.313*S68*8+4*0.376*2*PI()*(R68-2*0.25)/2</f>
        <v>134.59943302649856</v>
      </c>
    </row>
    <row r="69" spans="2:22" ht="15" customHeight="1" x14ac:dyDescent="0.25">
      <c r="B69" s="105"/>
      <c r="C69" s="112"/>
      <c r="D69" s="112"/>
      <c r="E69" s="231"/>
      <c r="F69" s="232"/>
      <c r="G69" s="112"/>
      <c r="H69" s="232"/>
      <c r="I69" s="232"/>
      <c r="J69" s="232"/>
      <c r="K69" s="232"/>
      <c r="L69" s="112"/>
      <c r="M69" s="120"/>
      <c r="N69" s="117"/>
      <c r="O69" s="120"/>
    </row>
    <row r="70" spans="2:22" ht="15" customHeight="1" x14ac:dyDescent="0.25">
      <c r="B70" s="148" t="s">
        <v>125</v>
      </c>
      <c r="C70" s="62" t="s">
        <v>272</v>
      </c>
    </row>
  </sheetData>
  <sheetProtection sheet="1" objects="1" scenarios="1"/>
  <mergeCells count="4">
    <mergeCell ref="C56:I56"/>
    <mergeCell ref="C21:I21"/>
    <mergeCell ref="C2:I2"/>
    <mergeCell ref="C42:I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B1:AD42"/>
  <sheetViews>
    <sheetView showGridLines="0" zoomScale="80" zoomScaleNormal="80" workbookViewId="0"/>
  </sheetViews>
  <sheetFormatPr defaultColWidth="9.109375" defaultRowHeight="15" customHeight="1" x14ac:dyDescent="0.25"/>
  <cols>
    <col min="1" max="1" width="2.77734375" style="62" customWidth="1"/>
    <col min="2" max="2" width="15.77734375" style="62" customWidth="1"/>
    <col min="3" max="8" width="10.77734375" style="62" customWidth="1"/>
    <col min="9" max="9" width="15.77734375" style="62" customWidth="1"/>
    <col min="10" max="16" width="10.77734375" style="62" customWidth="1"/>
    <col min="17" max="17" width="2.77734375" style="62" customWidth="1"/>
    <col min="18" max="16384" width="9.109375" style="62"/>
  </cols>
  <sheetData>
    <row r="1" spans="2:30" ht="15" customHeight="1" thickBot="1" x14ac:dyDescent="0.3"/>
    <row r="2" spans="2:30" ht="30" customHeight="1" thickBot="1" x14ac:dyDescent="0.3">
      <c r="B2" s="83" t="s">
        <v>159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 t="s">
        <v>325</v>
      </c>
      <c r="R2" s="148" t="s">
        <v>29</v>
      </c>
      <c r="T2" s="50" t="s">
        <v>18</v>
      </c>
    </row>
    <row r="3" spans="2:30" ht="15" customHeight="1" x14ac:dyDescent="0.25">
      <c r="B3" s="87" t="s">
        <v>286</v>
      </c>
      <c r="C3" s="146" t="s">
        <v>273</v>
      </c>
      <c r="D3" s="97"/>
      <c r="E3" s="97"/>
      <c r="F3" s="97"/>
      <c r="G3" s="97"/>
      <c r="H3" s="97"/>
      <c r="I3" s="97"/>
      <c r="J3" s="97"/>
      <c r="K3" s="97"/>
      <c r="L3" s="97"/>
      <c r="M3" s="98" t="s">
        <v>65</v>
      </c>
      <c r="N3" s="64" t="s">
        <v>273</v>
      </c>
      <c r="O3" s="152" t="s">
        <v>64</v>
      </c>
      <c r="P3" s="63" t="s">
        <v>274</v>
      </c>
    </row>
    <row r="4" spans="2:30" ht="15" customHeight="1" thickBot="1" x14ac:dyDescent="0.3">
      <c r="B4" s="96" t="s">
        <v>285</v>
      </c>
      <c r="C4" s="157" t="s">
        <v>287</v>
      </c>
      <c r="D4" s="97"/>
      <c r="E4" s="97"/>
      <c r="F4" s="97"/>
      <c r="G4" s="97"/>
      <c r="H4" s="97"/>
      <c r="I4" s="97"/>
      <c r="J4" s="153"/>
      <c r="K4" s="97"/>
      <c r="L4" s="97"/>
      <c r="M4" s="98" t="s">
        <v>119</v>
      </c>
      <c r="N4" s="64" t="s">
        <v>273</v>
      </c>
      <c r="O4" s="152" t="s">
        <v>64</v>
      </c>
      <c r="P4" s="63" t="s">
        <v>274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2:30" ht="15" customHeight="1" x14ac:dyDescent="0.25">
      <c r="B5" s="87"/>
      <c r="C5" s="88"/>
      <c r="D5" s="88"/>
      <c r="E5" s="88"/>
      <c r="F5" s="88"/>
      <c r="G5" s="88"/>
      <c r="H5" s="88"/>
      <c r="I5" s="88"/>
      <c r="J5" s="88"/>
      <c r="K5" s="89"/>
      <c r="L5" s="88"/>
      <c r="M5" s="88"/>
      <c r="N5" s="88"/>
      <c r="O5" s="88"/>
      <c r="P5" s="154"/>
      <c r="R5" s="149" t="s">
        <v>139</v>
      </c>
      <c r="S5" s="73"/>
      <c r="T5" s="73" t="s">
        <v>297</v>
      </c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2:30" ht="15" customHeight="1" x14ac:dyDescent="0.25">
      <c r="B6" s="100" t="s">
        <v>135</v>
      </c>
      <c r="C6" s="101"/>
      <c r="D6" s="248" t="str">
        <f>IF('WIND PRESSURE'!M33="YES","DIAMOND SHAPE","")</f>
        <v>DIAMOND SHAPE</v>
      </c>
      <c r="E6" s="92"/>
      <c r="F6" s="97"/>
      <c r="G6" s="97"/>
      <c r="H6" s="97"/>
      <c r="I6" s="97"/>
      <c r="J6" s="102" t="s">
        <v>164</v>
      </c>
      <c r="K6" s="92"/>
      <c r="L6" s="92"/>
      <c r="M6" s="92"/>
      <c r="N6" s="92"/>
      <c r="O6" s="97"/>
      <c r="P6" s="99"/>
      <c r="R6" s="73"/>
      <c r="S6" s="73"/>
      <c r="T6" s="73" t="s">
        <v>298</v>
      </c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2:30" ht="15" customHeight="1" x14ac:dyDescent="0.25">
      <c r="B7" s="96" t="s">
        <v>120</v>
      </c>
      <c r="C7" s="103" t="s">
        <v>131</v>
      </c>
      <c r="D7" s="66">
        <f>'WIND PRESSURE'!M26</f>
        <v>4.24</v>
      </c>
      <c r="E7" s="97" t="s">
        <v>24</v>
      </c>
      <c r="F7" s="74" t="str">
        <f>IF(D7&gt;8,"SIGN WIDTH TOO BIG FOR U-POST","")</f>
        <v/>
      </c>
      <c r="G7" s="97"/>
      <c r="H7" s="97"/>
      <c r="I7" s="97"/>
      <c r="J7" s="104" t="s">
        <v>301</v>
      </c>
      <c r="K7" s="97"/>
      <c r="L7" s="103"/>
      <c r="M7" s="51">
        <v>30</v>
      </c>
      <c r="N7" s="97" t="s">
        <v>24</v>
      </c>
      <c r="O7" s="97"/>
      <c r="P7" s="99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2:30" ht="15" customHeight="1" x14ac:dyDescent="0.25">
      <c r="B8" s="96" t="s">
        <v>133</v>
      </c>
      <c r="C8" s="103" t="s">
        <v>132</v>
      </c>
      <c r="D8" s="66">
        <f>'WIND PRESSURE'!M27</f>
        <v>4.24</v>
      </c>
      <c r="E8" s="97" t="s">
        <v>24</v>
      </c>
      <c r="F8" s="74" t="str">
        <f>IF(D7*D8&gt;=50,"SIGN AREA TOO BIG FOR U-POST","")</f>
        <v/>
      </c>
      <c r="G8" s="97"/>
      <c r="H8" s="97"/>
      <c r="I8" s="97"/>
      <c r="J8" s="97" t="s">
        <v>282</v>
      </c>
      <c r="K8" s="97"/>
      <c r="L8" s="97"/>
      <c r="M8" s="51">
        <v>8</v>
      </c>
      <c r="N8" s="97" t="s">
        <v>24</v>
      </c>
      <c r="O8" s="97"/>
      <c r="P8" s="99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</row>
    <row r="9" spans="2:30" ht="15" customHeight="1" x14ac:dyDescent="0.25">
      <c r="B9" s="96" t="s">
        <v>134</v>
      </c>
      <c r="C9" s="103" t="s">
        <v>124</v>
      </c>
      <c r="D9" s="51">
        <v>5</v>
      </c>
      <c r="E9" s="97" t="s">
        <v>24</v>
      </c>
      <c r="F9" s="74" t="str">
        <f>IF(D9&lt;5,"CLR. HGT. MIN. NOT MET (SEE NOTE BELOW)","SEE TDOT STD. DW.G T-S-9")</f>
        <v>SEE TDOT STD. DW.G T-S-9</v>
      </c>
      <c r="G9" s="97"/>
      <c r="H9" s="97"/>
      <c r="I9" s="97"/>
      <c r="J9" s="97" t="s">
        <v>283</v>
      </c>
      <c r="K9" s="97"/>
      <c r="L9" s="103"/>
      <c r="M9" s="51">
        <v>-0.04</v>
      </c>
      <c r="N9" s="97" t="s">
        <v>165</v>
      </c>
      <c r="O9" s="97"/>
      <c r="P9" s="99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</row>
    <row r="10" spans="2:30" ht="15" customHeight="1" x14ac:dyDescent="0.25">
      <c r="B10" s="96"/>
      <c r="C10" s="105"/>
      <c r="D10" s="97"/>
      <c r="E10" s="97"/>
      <c r="F10" s="97"/>
      <c r="G10" s="97"/>
      <c r="H10" s="97"/>
      <c r="I10" s="105"/>
      <c r="J10" s="97" t="s">
        <v>281</v>
      </c>
      <c r="K10" s="97"/>
      <c r="L10" s="103"/>
      <c r="M10" s="51">
        <v>12</v>
      </c>
      <c r="N10" s="97" t="s">
        <v>24</v>
      </c>
      <c r="O10" s="97"/>
      <c r="P10" s="99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</row>
    <row r="11" spans="2:30" ht="15" customHeight="1" x14ac:dyDescent="0.25">
      <c r="B11" s="100" t="s">
        <v>147</v>
      </c>
      <c r="C11" s="101"/>
      <c r="D11" s="92"/>
      <c r="E11" s="92"/>
      <c r="F11" s="97"/>
      <c r="G11" s="105"/>
      <c r="H11" s="97"/>
      <c r="I11" s="105"/>
      <c r="J11" s="97" t="s">
        <v>284</v>
      </c>
      <c r="K11" s="105"/>
      <c r="L11" s="103"/>
      <c r="M11" s="51">
        <v>-6</v>
      </c>
      <c r="N11" s="97" t="s">
        <v>166</v>
      </c>
      <c r="O11" s="97"/>
      <c r="P11" s="99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2:30" ht="15" customHeight="1" x14ac:dyDescent="0.25">
      <c r="B12" s="109" t="s">
        <v>296</v>
      </c>
      <c r="C12" s="103" t="s">
        <v>40</v>
      </c>
      <c r="D12" s="110">
        <f>ROUNDUP('WIND PRESSURE'!D31,0)</f>
        <v>16</v>
      </c>
      <c r="E12" s="97" t="s">
        <v>55</v>
      </c>
      <c r="F12" s="97"/>
      <c r="G12" s="105"/>
      <c r="H12" s="97"/>
      <c r="I12" s="105"/>
      <c r="J12" s="97" t="s">
        <v>294</v>
      </c>
      <c r="K12" s="105"/>
      <c r="L12" s="103"/>
      <c r="M12" s="51">
        <v>-3</v>
      </c>
      <c r="N12" s="97" t="s">
        <v>166</v>
      </c>
      <c r="O12" s="97"/>
      <c r="P12" s="99"/>
      <c r="U12" s="73"/>
      <c r="V12" s="73"/>
      <c r="W12" s="73"/>
      <c r="X12" s="73"/>
      <c r="Y12" s="73"/>
      <c r="Z12" s="73"/>
      <c r="AA12" s="73"/>
      <c r="AB12" s="73"/>
      <c r="AC12" s="73"/>
      <c r="AD12" s="73"/>
    </row>
    <row r="13" spans="2:30" ht="15" customHeight="1" x14ac:dyDescent="0.25">
      <c r="B13" s="96" t="s">
        <v>136</v>
      </c>
      <c r="C13" s="103" t="s">
        <v>138</v>
      </c>
      <c r="D13" s="111">
        <f>ROUNDUP(D12*D7*D8*(MAX(L17:N17)-M13-D8/2),0)</f>
        <v>3921</v>
      </c>
      <c r="E13" s="97" t="s">
        <v>137</v>
      </c>
      <c r="F13" s="97"/>
      <c r="G13" s="97"/>
      <c r="H13" s="97"/>
      <c r="I13" s="105"/>
      <c r="J13" s="97" t="s">
        <v>292</v>
      </c>
      <c r="K13" s="97"/>
      <c r="L13" s="97"/>
      <c r="M13" s="51">
        <v>3.5</v>
      </c>
      <c r="N13" s="97" t="s">
        <v>24</v>
      </c>
      <c r="O13" s="74" t="s">
        <v>300</v>
      </c>
      <c r="P13" s="99"/>
      <c r="U13" s="73"/>
      <c r="V13" s="73"/>
      <c r="W13" s="73"/>
      <c r="X13" s="73"/>
      <c r="Y13" s="73"/>
      <c r="Z13" s="73"/>
      <c r="AA13" s="73"/>
      <c r="AB13" s="73"/>
      <c r="AC13" s="73"/>
      <c r="AD13" s="73"/>
    </row>
    <row r="14" spans="2:30" ht="15" customHeight="1" x14ac:dyDescent="0.25">
      <c r="B14" s="96"/>
      <c r="C14" s="97"/>
      <c r="D14" s="97"/>
      <c r="E14" s="97"/>
      <c r="F14" s="97"/>
      <c r="G14" s="97"/>
      <c r="H14" s="97"/>
      <c r="I14" s="105"/>
      <c r="J14" s="97"/>
      <c r="K14" s="97"/>
      <c r="L14" s="97"/>
      <c r="M14" s="97"/>
      <c r="N14" s="97"/>
      <c r="O14" s="97"/>
      <c r="P14" s="99"/>
      <c r="U14" s="73"/>
      <c r="V14" s="73"/>
      <c r="W14" s="73"/>
      <c r="X14" s="73"/>
      <c r="Y14" s="73"/>
      <c r="Z14" s="73"/>
      <c r="AA14" s="73"/>
      <c r="AB14" s="73"/>
      <c r="AC14" s="73"/>
      <c r="AD14" s="73"/>
    </row>
    <row r="15" spans="2:30" ht="15" customHeight="1" x14ac:dyDescent="0.25">
      <c r="B15" s="100" t="s">
        <v>141</v>
      </c>
      <c r="C15" s="92"/>
      <c r="D15" s="92"/>
      <c r="E15" s="92"/>
      <c r="F15" s="97"/>
      <c r="G15" s="97"/>
      <c r="H15" s="97"/>
      <c r="I15" s="97"/>
      <c r="J15" s="102" t="s">
        <v>190</v>
      </c>
      <c r="K15" s="92"/>
      <c r="L15" s="92"/>
      <c r="M15" s="92"/>
      <c r="N15" s="239"/>
      <c r="O15" s="97"/>
      <c r="P15" s="99"/>
      <c r="R15" s="149" t="s">
        <v>140</v>
      </c>
      <c r="S15" s="73"/>
      <c r="T15" s="72" t="s">
        <v>307</v>
      </c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5" customHeight="1" x14ac:dyDescent="0.25">
      <c r="B16" s="96" t="s">
        <v>143</v>
      </c>
      <c r="C16" s="112"/>
      <c r="D16" s="112">
        <f>IF(D7&gt;8,"",IF(AND(D6="DIAMOND SHAPE",D7&lt;5.65,D8&lt;5.65),1,IF(AND(D7&lt;=3,D7*D8&lt;12),1,IF(D7&gt;=6,3,2))))</f>
        <v>1</v>
      </c>
      <c r="E16" s="97"/>
      <c r="F16" s="105" t="str">
        <f>IF($D$16=1,"ONE-POST",IF($D$16=2,"SEE TWO-POST SCHEMATIC FOR POST SPACING",IF($D$16=3,"SEE THREE-POST SCHEMATIC FOR POST SPACING","")))</f>
        <v>ONE-POST</v>
      </c>
      <c r="G16" s="97"/>
      <c r="H16" s="97"/>
      <c r="I16" s="97"/>
      <c r="J16" s="97"/>
      <c r="K16" s="97"/>
      <c r="L16" s="112" t="s">
        <v>168</v>
      </c>
      <c r="M16" s="112" t="s">
        <v>169</v>
      </c>
      <c r="N16" s="112" t="s">
        <v>170</v>
      </c>
      <c r="O16" s="97"/>
      <c r="P16" s="99"/>
      <c r="R16" s="73"/>
      <c r="S16" s="73"/>
      <c r="T16" s="72" t="s">
        <v>314</v>
      </c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spans="2:30" ht="15" customHeight="1" x14ac:dyDescent="0.25">
      <c r="B17" s="96" t="s">
        <v>142</v>
      </c>
      <c r="C17" s="97"/>
      <c r="D17" s="113" t="str">
        <f>IF(D16="","",IF(D13&lt;='SECTION PROPERTIES'!O8*D16,'SECTION PROPERTIES'!B8,IF(AND(D13&gt;'SECTION PROPERTIES'!O8*D16,D13&lt;='SECTION PROPERTIES'!O9*D16),'SECTION PROPERTIES'!B9,IF(AND(D13&gt;'SECTION PROPERTIES'!O9*D16,D13&lt;='SECTION PROPERTIES'!O10*D16),'SECTION PROPERTIES'!B10,IF(AND(D13&gt;'SECTION PROPERTIES'!O10*D16,D13&lt;='SECTION PROPERTIES'!O11*D16),'SECTION PROPERTIES'!B11,IF(AND(D13&gt;'SECTION PROPERTIES'!O11*D16,D13&lt;='SECTION PROPERTIES'!O12*D16),'SECTION PROPERTIES'!B12,IF(AND(D13&gt;'SECTION PROPERTIES'!O12*D16,D13&lt;='SECTION PROPERTIES'!O13*D16),'SECTION PROPERTIES'!B13,'SECTION PROPERTIES'!B14)))))))</f>
        <v>U7</v>
      </c>
      <c r="E17" s="97"/>
      <c r="F17" s="74" t="str">
        <f>IF(D16="","SIGN TOO BIG FOR U-POST","")</f>
        <v/>
      </c>
      <c r="G17" s="97"/>
      <c r="H17" s="97"/>
      <c r="I17" s="97"/>
      <c r="J17" s="97" t="s">
        <v>172</v>
      </c>
      <c r="K17" s="97"/>
      <c r="L17" s="114">
        <f>IF(D16="","",IF(AND(D6="DIAMOND SHAPE",D7&gt;=5.65,D8&gt;=5.65),CEILING(D9-M8*M9-M10*1/M11-1/M12*((M7-M8-M10)+(D7/2-15/12))+D8-17/12+M13,0.25),IF(M8+M10&lt;M7,CEILING(IF(D16=1,D9-M8*M9-M10*1/M11-1/M12*((M7-M8-M10)+(D7/2))+D8+M13,IF(D16=2,D9-M8*M9-M10*1/M11-1/M12*((M7-M8-M10)+(D7/5))+D8+M13,IF(D16=3,D9-M8*M9-M10*1/M11-1/M12*((M7-M8-M10)+(D7/6))+D8+M13))),0.25),IF(M8+M10&gt;M7,CEILING(IF(D16=1,D9-M8*M9-1/M11*((M7-M8)+(D7/2))+D8+M13,IF(D16=2,D9-M8*M9-1/M11*((M7-M8)+(D7/5))+D8+M13,IF(D16=3,D9-M8*M9-1/M11*((M7-M8)+(D7/6))+D8+M13))),0.25)))))</f>
        <v>19.25</v>
      </c>
      <c r="M17" s="115" t="str">
        <f>IF(OR(D16="",D16=1),"",IF(AND(D6="DIAMOND SHAPE",D7&gt;=5.65,D8&gt;=5.65),CEILING(D9-M8*M9-M10*1/M11-1/M12*((M7-M8-M10)+(D7/2+15/12))+D8-17/12+M13,0.25),IF(M8+M10&lt;M7,CEILING(IF(D16=2,D9-M8*M9-M10*1/M11-1/M12*((M7-M8-M10)+(4*D7/5))+D8+M13,IF(D16=3,D9-M8*M9-M10*1/M11-1/M12*((M7-M8-M10)+(D7/2))+D8+M13)),0.25),IF(M8+M10&gt;M7,CEILING(IF(D16=2,D9-M8*M9-1/M11*((M7-M8)+(4*D7/5))+D8+M13,IF(D16=3,D9-M8*M9-1/M11*((M7-M8)+(D7/2))+D8+M13)),0.25)))))</f>
        <v/>
      </c>
      <c r="N17" s="114" t="str">
        <f>IF(OR(D16="",D16=1,D16=2),"",IF(M8+M10&lt;M7,CEILING(IF(D16=3,D9-M8*M9-M10*1/M11-1/M12*((M7-M8-M10)+(5*D7/6))+D8+M13),0.25),IF(M8+M10&gt;M7,CEILING(IF(D16=3,D9-M8*M9-1/M11*((M7-M8)+(5*D7/6))+D8+M13),0.25))))</f>
        <v/>
      </c>
      <c r="O17" s="97" t="s">
        <v>24</v>
      </c>
      <c r="P17" s="99"/>
      <c r="R17" s="73"/>
      <c r="S17" s="73"/>
      <c r="T17" s="72" t="s">
        <v>313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5" customHeight="1" x14ac:dyDescent="0.25">
      <c r="B18" s="96" t="s">
        <v>146</v>
      </c>
      <c r="C18" s="97"/>
      <c r="D18" s="113">
        <f>IF(D16="","",ROUNDDOWN(INDEX('SECTION PROPERTIES'!$B$8:$T$14,MATCH(D17,'SECTION PROPERTIES'!$B$8:$B$14,0),14),0)*D16)</f>
        <v>1916</v>
      </c>
      <c r="E18" s="97" t="s">
        <v>137</v>
      </c>
      <c r="F18" s="74" t="str">
        <f>IF(D17="","",IF(D18&gt;D13,"OK","NG; GO TO P-POST SELECTOR"))</f>
        <v>NG; GO TO P-POST SELECTOR</v>
      </c>
      <c r="G18" s="97"/>
      <c r="H18" s="97"/>
      <c r="I18" s="97"/>
      <c r="J18" s="97" t="s">
        <v>173</v>
      </c>
      <c r="K18" s="97"/>
      <c r="L18" s="117">
        <f>IF(L17="","",VLOOKUP($D$17,'SECTION PROPERTIES'!$B$8:$V$14,4)*(L17))</f>
        <v>77</v>
      </c>
      <c r="M18" s="117" t="str">
        <f>IF(M17="","",VLOOKUP($D$17,'SECTION PROPERTIES'!$B$8:$V$14,4)*(M17))</f>
        <v/>
      </c>
      <c r="N18" s="117" t="str">
        <f>IF(N17="","",VLOOKUP($D$17,'SECTION PROPERTIES'!$B$8:$V$14,4)*(N17))</f>
        <v/>
      </c>
      <c r="O18" s="97" t="s">
        <v>167</v>
      </c>
      <c r="P18" s="99"/>
      <c r="R18" s="73"/>
      <c r="S18" s="73"/>
      <c r="T18" s="72" t="s">
        <v>308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spans="2:30" ht="15" customHeight="1" x14ac:dyDescent="0.25">
      <c r="B19" s="156" t="str">
        <f>IF(D17="U7","SLIP BASE REQUIRED IF NOT PROTECTED BY GUARDRAIL","")</f>
        <v>SLIP BASE REQUIRED IF NOT PROTECTED BY GUARDRAIL</v>
      </c>
      <c r="C19" s="139"/>
      <c r="D19" s="113"/>
      <c r="E19" s="139"/>
      <c r="F19" s="139"/>
      <c r="G19" s="97"/>
      <c r="H19" s="97"/>
      <c r="I19" s="97"/>
      <c r="J19" s="97"/>
      <c r="K19" s="97"/>
      <c r="L19" s="97"/>
      <c r="M19" s="97"/>
      <c r="N19" s="97"/>
      <c r="O19" s="97"/>
      <c r="P19" s="119" t="s">
        <v>189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spans="2:30" ht="15" customHeight="1" x14ac:dyDescent="0.25">
      <c r="B20" s="96"/>
      <c r="C20" s="97"/>
      <c r="D20" s="97"/>
      <c r="E20" s="97"/>
      <c r="F20" s="97"/>
      <c r="G20" s="97"/>
      <c r="H20" s="97"/>
      <c r="I20" s="97"/>
      <c r="J20" s="97" t="s">
        <v>187</v>
      </c>
      <c r="K20" s="97"/>
      <c r="L20" s="97"/>
      <c r="M20" s="97"/>
      <c r="N20" s="117">
        <f>IF(D17="","",SUM(L18:N18))</f>
        <v>77</v>
      </c>
      <c r="O20" s="97" t="s">
        <v>167</v>
      </c>
      <c r="P20" s="119" t="s">
        <v>193</v>
      </c>
      <c r="R20" s="73"/>
      <c r="S20" s="73"/>
      <c r="T20" s="72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2:30" ht="15" customHeight="1" x14ac:dyDescent="0.25">
      <c r="B21" s="96"/>
      <c r="C21" s="97"/>
      <c r="D21" s="97"/>
      <c r="E21" s="97"/>
      <c r="F21" s="97"/>
      <c r="G21" s="97"/>
      <c r="H21" s="97"/>
      <c r="I21" s="97"/>
      <c r="J21" s="97" t="s">
        <v>293</v>
      </c>
      <c r="K21" s="97"/>
      <c r="L21" s="97"/>
      <c r="M21" s="97"/>
      <c r="N21" s="112" t="str">
        <f>IF(OR(B19="",M13&gt;0),"",D16)</f>
        <v/>
      </c>
      <c r="O21" s="97" t="s">
        <v>186</v>
      </c>
      <c r="P21" s="119" t="s">
        <v>192</v>
      </c>
      <c r="R21" s="149" t="s">
        <v>125</v>
      </c>
      <c r="S21" s="73"/>
      <c r="T21" s="72" t="s">
        <v>295</v>
      </c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2:30" ht="15" customHeight="1" x14ac:dyDescent="0.25">
      <c r="B22" s="96"/>
      <c r="C22" s="97"/>
      <c r="D22" s="97"/>
      <c r="E22" s="97"/>
      <c r="F22" s="97"/>
      <c r="G22" s="97"/>
      <c r="H22" s="97"/>
      <c r="I22" s="97"/>
      <c r="J22" s="104" t="s">
        <v>219</v>
      </c>
      <c r="K22" s="104"/>
      <c r="L22" s="104"/>
      <c r="M22" s="104"/>
      <c r="N22" s="114" t="str">
        <f>IF(OR(B19="",M13&gt;0),"",IF(D16=1,VLOOKUP(D17,'SECTION PROPERTIES'!$B$8:$V$14,20),IF(D16=2,VLOOKUP(D17,'SECTION PROPERTIES'!$B$8:$V$14,20)*2,IF(D16=3,VLOOKUP(D17,'SECTION PROPERTIES'!$B$8:$V$14,20)*3))))</f>
        <v/>
      </c>
      <c r="O22" s="104" t="s">
        <v>224</v>
      </c>
      <c r="P22" s="119" t="s">
        <v>221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2:30" ht="15" customHeight="1" x14ac:dyDescent="0.25">
      <c r="B23" s="96"/>
      <c r="C23" s="97"/>
      <c r="D23" s="97"/>
      <c r="E23" s="97"/>
      <c r="F23" s="97"/>
      <c r="G23" s="97"/>
      <c r="H23" s="97"/>
      <c r="I23" s="97"/>
      <c r="J23" s="104" t="s">
        <v>220</v>
      </c>
      <c r="K23" s="104"/>
      <c r="L23" s="104"/>
      <c r="M23" s="104"/>
      <c r="N23" s="114" t="str">
        <f>IF(OR(B19="",M13&gt;0),"",IF(D16=1,VLOOKUP(D17,'SECTION PROPERTIES'!$B$8:$V$14,21),IF(D16=2,VLOOKUP(D17,'SECTION PROPERTIES'!$B$8:$V$14,21)*2,IF(D16=3,VLOOKUP(D17,'SECTION PROPERTIES'!$B$8:$V$14,21)*3))))</f>
        <v/>
      </c>
      <c r="O23" s="104" t="s">
        <v>167</v>
      </c>
      <c r="P23" s="119" t="s">
        <v>222</v>
      </c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2:30" ht="15" customHeight="1" x14ac:dyDescent="0.25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9"/>
      <c r="R24" s="73"/>
      <c r="S24" s="73"/>
      <c r="T24" s="249" t="s">
        <v>318</v>
      </c>
      <c r="U24" s="73"/>
      <c r="V24" s="73"/>
      <c r="W24" s="73"/>
      <c r="X24" s="73"/>
      <c r="Y24" s="73"/>
      <c r="Z24" s="73"/>
      <c r="AA24" s="73"/>
      <c r="AB24" s="73"/>
      <c r="AC24" s="73"/>
      <c r="AD24" s="73"/>
    </row>
    <row r="25" spans="2:30" ht="15" customHeight="1" x14ac:dyDescent="0.25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9"/>
      <c r="R25" s="73"/>
      <c r="S25" s="62" t="s">
        <v>324</v>
      </c>
      <c r="T25" s="62" t="s">
        <v>323</v>
      </c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2:30" ht="15" customHeight="1" x14ac:dyDescent="0.2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9"/>
      <c r="R26" s="73"/>
      <c r="S26" s="73" t="s">
        <v>319</v>
      </c>
      <c r="T26" s="73" t="s">
        <v>317</v>
      </c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2:30" ht="15" customHeight="1" x14ac:dyDescent="0.25">
      <c r="B27" s="96"/>
      <c r="C27" s="97"/>
      <c r="D27" s="121" t="s">
        <v>148</v>
      </c>
      <c r="E27" s="122"/>
      <c r="F27" s="122"/>
      <c r="G27" s="122"/>
      <c r="H27" s="122"/>
      <c r="I27" s="97"/>
      <c r="J27" s="121" t="s">
        <v>149</v>
      </c>
      <c r="K27" s="122"/>
      <c r="L27" s="122"/>
      <c r="M27" s="122"/>
      <c r="N27" s="122"/>
      <c r="O27" s="122"/>
      <c r="P27" s="99"/>
      <c r="R27" s="73"/>
      <c r="S27" s="73" t="s">
        <v>322</v>
      </c>
      <c r="T27" s="73" t="s">
        <v>321</v>
      </c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2:30" ht="15" customHeight="1" x14ac:dyDescent="0.25">
      <c r="B28" s="96"/>
      <c r="C28" s="97"/>
      <c r="D28" s="121"/>
      <c r="E28" s="122"/>
      <c r="F28" s="122"/>
      <c r="G28" s="122"/>
      <c r="H28" s="122"/>
      <c r="I28" s="97"/>
      <c r="J28" s="97"/>
      <c r="K28" s="97"/>
      <c r="L28" s="97"/>
      <c r="M28" s="97"/>
      <c r="N28" s="97"/>
      <c r="O28" s="97"/>
      <c r="P28" s="99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2:30" ht="15" customHeight="1" x14ac:dyDescent="0.25">
      <c r="B29" s="96"/>
      <c r="C29" s="97"/>
      <c r="D29" s="97"/>
      <c r="E29" s="122" t="s">
        <v>120</v>
      </c>
      <c r="F29" s="122"/>
      <c r="G29" s="122"/>
      <c r="H29" s="97"/>
      <c r="I29" s="97"/>
      <c r="J29" s="97"/>
      <c r="K29" s="122" t="s">
        <v>120</v>
      </c>
      <c r="L29" s="122"/>
      <c r="M29" s="122"/>
      <c r="N29" s="122"/>
      <c r="O29" s="97"/>
      <c r="P29" s="99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</row>
    <row r="30" spans="2:30" ht="15" customHeight="1" x14ac:dyDescent="0.25">
      <c r="B30" s="96"/>
      <c r="C30" s="97"/>
      <c r="D30" s="123"/>
      <c r="E30" s="124"/>
      <c r="F30" s="125"/>
      <c r="G30" s="126"/>
      <c r="H30" s="97"/>
      <c r="I30" s="97"/>
      <c r="J30" s="123"/>
      <c r="K30" s="124"/>
      <c r="L30" s="125"/>
      <c r="M30" s="125"/>
      <c r="N30" s="126"/>
      <c r="O30" s="97"/>
      <c r="P30" s="99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2:30" ht="15" customHeight="1" x14ac:dyDescent="0.25">
      <c r="B31" s="96"/>
      <c r="C31" s="97"/>
      <c r="D31" s="127" t="s">
        <v>67</v>
      </c>
      <c r="E31" s="128" t="s">
        <v>67</v>
      </c>
      <c r="F31" s="122"/>
      <c r="G31" s="129"/>
      <c r="H31" s="97"/>
      <c r="I31" s="97"/>
      <c r="J31" s="127" t="s">
        <v>67</v>
      </c>
      <c r="K31" s="128" t="s">
        <v>67</v>
      </c>
      <c r="L31" s="122"/>
      <c r="M31" s="122"/>
      <c r="N31" s="129"/>
      <c r="O31" s="97"/>
      <c r="P31" s="99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2:30" ht="15" customHeight="1" x14ac:dyDescent="0.25">
      <c r="B32" s="96"/>
      <c r="C32" s="97"/>
      <c r="D32" s="127" t="s">
        <v>68</v>
      </c>
      <c r="E32" s="128" t="s">
        <v>122</v>
      </c>
      <c r="F32" s="122"/>
      <c r="G32" s="129"/>
      <c r="H32" s="97"/>
      <c r="I32" s="97"/>
      <c r="J32" s="127" t="s">
        <v>68</v>
      </c>
      <c r="K32" s="128" t="s">
        <v>122</v>
      </c>
      <c r="L32" s="122"/>
      <c r="M32" s="122"/>
      <c r="N32" s="129"/>
      <c r="O32" s="97"/>
      <c r="P32" s="99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</row>
    <row r="33" spans="2:16" ht="15" customHeight="1" x14ac:dyDescent="0.25">
      <c r="B33" s="96"/>
      <c r="C33" s="97"/>
      <c r="D33" s="123"/>
      <c r="E33" s="130"/>
      <c r="F33" s="92"/>
      <c r="G33" s="131"/>
      <c r="H33" s="97"/>
      <c r="I33" s="97"/>
      <c r="J33" s="123"/>
      <c r="K33" s="130"/>
      <c r="L33" s="92"/>
      <c r="M33" s="92"/>
      <c r="N33" s="131"/>
      <c r="O33" s="97"/>
      <c r="P33" s="99"/>
    </row>
    <row r="34" spans="2:16" ht="15" customHeight="1" x14ac:dyDescent="0.25">
      <c r="B34" s="96"/>
      <c r="C34" s="97"/>
      <c r="D34" s="97"/>
      <c r="E34" s="97"/>
      <c r="F34" s="132"/>
      <c r="G34" s="97"/>
      <c r="H34" s="97"/>
      <c r="I34" s="97"/>
      <c r="J34" s="97"/>
      <c r="K34" s="97"/>
      <c r="L34" s="124"/>
      <c r="M34" s="132"/>
      <c r="N34" s="97"/>
      <c r="O34" s="97"/>
      <c r="P34" s="99"/>
    </row>
    <row r="35" spans="2:16" ht="15" customHeight="1" x14ac:dyDescent="0.25">
      <c r="B35" s="96"/>
      <c r="C35" s="97"/>
      <c r="D35" s="97"/>
      <c r="E35" s="97"/>
      <c r="F35" s="133"/>
      <c r="G35" s="97"/>
      <c r="H35" s="97"/>
      <c r="I35" s="97"/>
      <c r="J35" s="97"/>
      <c r="K35" s="97"/>
      <c r="L35" s="134"/>
      <c r="M35" s="133"/>
      <c r="N35" s="97"/>
      <c r="O35" s="97"/>
      <c r="P35" s="99"/>
    </row>
    <row r="36" spans="2:16" ht="15" customHeight="1" x14ac:dyDescent="0.25">
      <c r="B36" s="96"/>
      <c r="C36" s="97"/>
      <c r="D36" s="97"/>
      <c r="E36" s="135" t="str">
        <f>IF($D$16=2,CONCATENATE(TRUNC($D$7*1/5)," ","FT"," ","-"," ",ROUND(($D$7*1/5-TRUNC($D$7*1/5))*12,0)," ","IN"),"")</f>
        <v/>
      </c>
      <c r="F36" s="136" t="str">
        <f>IF($D$16=2,CONCATENATE(TRUNC($D$7*3/5)," ","FT"," ","-"," ",ROUND(($D$7*3/5-TRUNC($D$7*3/5))*12,0)," ","IN"),"")</f>
        <v/>
      </c>
      <c r="G36" s="137" t="str">
        <f>IF($D$16=2,CONCATENATE(TRUNC($D$7*1/5)," ","FT"," ","-"," ",ROUND(($D$7*1/5-TRUNC($D$7*1/5))*12,0)," ","IN"),"")</f>
        <v/>
      </c>
      <c r="H36" s="97"/>
      <c r="I36" s="97"/>
      <c r="J36" s="97"/>
      <c r="K36" s="135" t="str">
        <f>IF($D$16=3,CONCATENATE(TRUNC($D$7*1/6)," ","FT"," ","-"," ",ROUND(($D$7*1/6-TRUNC($D$7*1/6))*12,0)," ","IN"),"")</f>
        <v/>
      </c>
      <c r="L36" s="138" t="str">
        <f>IF($D$16=3,CONCATENATE(TRUNC($D$7*1/3)," ","FT"," ","-"," ",ROUND(($D$7*1/3-TRUNC($D$7*1/3))*12,0)," ","IN"),"")</f>
        <v/>
      </c>
      <c r="M36" s="136" t="str">
        <f>IF($D$16=3,CONCATENATE(TRUNC($D$7*1/3)," ","FT"," ","-"," ",ROUND(($D$7*1/3-TRUNC($D$7*1/3))*12,0)," ","IN"),"")</f>
        <v/>
      </c>
      <c r="N36" s="137" t="str">
        <f>IF($D$16=3,CONCATENATE(TRUNC($D$7*1/6)," ","FT"," ","-"," ",ROUND(($D$7*1/6-TRUNC($D$7*1/6))*12,0)," ","IN"),"")</f>
        <v/>
      </c>
      <c r="O36" s="97"/>
      <c r="P36" s="99"/>
    </row>
    <row r="37" spans="2:16" ht="15" customHeight="1" x14ac:dyDescent="0.25">
      <c r="B37" s="96"/>
      <c r="C37" s="97"/>
      <c r="D37" s="139"/>
      <c r="E37" s="97"/>
      <c r="F37" s="140"/>
      <c r="G37" s="139"/>
      <c r="H37" s="97"/>
      <c r="I37" s="97"/>
      <c r="J37" s="139"/>
      <c r="K37" s="97"/>
      <c r="L37" s="141"/>
      <c r="M37" s="140"/>
      <c r="N37" s="139"/>
      <c r="O37" s="97"/>
      <c r="P37" s="99"/>
    </row>
    <row r="38" spans="2:16" ht="15" customHeight="1" x14ac:dyDescent="0.25">
      <c r="B38" s="96"/>
      <c r="C38" s="97"/>
      <c r="D38" s="92"/>
      <c r="E38" s="92"/>
      <c r="F38" s="142"/>
      <c r="G38" s="92"/>
      <c r="H38" s="92"/>
      <c r="I38" s="97"/>
      <c r="J38" s="92"/>
      <c r="K38" s="92"/>
      <c r="L38" s="130"/>
      <c r="M38" s="142"/>
      <c r="N38" s="92"/>
      <c r="O38" s="92"/>
      <c r="P38" s="99"/>
    </row>
    <row r="39" spans="2:16" ht="15" customHeight="1" x14ac:dyDescent="0.25">
      <c r="B39" s="96"/>
      <c r="C39" s="97"/>
      <c r="D39" s="122" t="s">
        <v>123</v>
      </c>
      <c r="E39" s="122"/>
      <c r="F39" s="122"/>
      <c r="G39" s="122"/>
      <c r="H39" s="122"/>
      <c r="I39" s="97"/>
      <c r="J39" s="122" t="s">
        <v>123</v>
      </c>
      <c r="K39" s="122"/>
      <c r="L39" s="122"/>
      <c r="M39" s="122"/>
      <c r="N39" s="122"/>
      <c r="O39" s="122"/>
      <c r="P39" s="99"/>
    </row>
    <row r="40" spans="2:16" ht="15" customHeight="1" x14ac:dyDescent="0.2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9"/>
    </row>
    <row r="41" spans="2:16" ht="15" customHeight="1" x14ac:dyDescent="0.2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9"/>
    </row>
    <row r="42" spans="2:16" ht="15" customHeight="1" thickBot="1" x14ac:dyDescent="0.3">
      <c r="B42" s="143" t="s">
        <v>128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sheetProtection sheet="1" objects="1" scenarios="1"/>
  <conditionalFormatting sqref="D17">
    <cfRule type="cellIs" dxfId="86" priority="14" operator="equal">
      <formula>"U1"</formula>
    </cfRule>
    <cfRule type="cellIs" dxfId="85" priority="15" operator="equal">
      <formula>"U2"</formula>
    </cfRule>
    <cfRule type="cellIs" dxfId="84" priority="16" operator="equal">
      <formula>"U3"</formula>
    </cfRule>
    <cfRule type="cellIs" dxfId="83" priority="17" operator="equal">
      <formula>"U4"</formula>
    </cfRule>
    <cfRule type="cellIs" dxfId="82" priority="23" operator="equal">
      <formula>"U5"</formula>
    </cfRule>
    <cfRule type="cellIs" dxfId="81" priority="24" operator="equal">
      <formula>"U6"</formula>
    </cfRule>
    <cfRule type="cellIs" dxfId="80" priority="25" operator="equal">
      <formula>"U7"</formula>
    </cfRule>
  </conditionalFormatting>
  <conditionalFormatting sqref="D18">
    <cfRule type="expression" dxfId="79" priority="1">
      <formula>$D$17="U1"</formula>
    </cfRule>
    <cfRule type="expression" dxfId="78" priority="2">
      <formula>$D$17="U2"</formula>
    </cfRule>
    <cfRule type="expression" dxfId="77" priority="3">
      <formula>$D$17="U3"</formula>
    </cfRule>
    <cfRule type="expression" dxfId="76" priority="4">
      <formula>$D$17="U4"</formula>
    </cfRule>
    <cfRule type="expression" dxfId="75" priority="5">
      <formula>$D$17="U5"</formula>
    </cfRule>
    <cfRule type="expression" dxfId="74" priority="6">
      <formula>$D$17="U6"</formula>
    </cfRule>
    <cfRule type="expression" dxfId="73" priority="7">
      <formula>$D$17="U7"</formula>
    </cfRule>
  </conditionalFormatting>
  <pageMargins left="0.7" right="0.7" top="0.75" bottom="0.75" header="0.3" footer="0.3"/>
  <pageSetup orientation="portrait" r:id="rId1"/>
  <ignoredErrors>
    <ignoredError sqref="F3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B1:AD45"/>
  <sheetViews>
    <sheetView showGridLines="0" zoomScale="80" zoomScaleNormal="80" workbookViewId="0"/>
  </sheetViews>
  <sheetFormatPr defaultColWidth="9.109375" defaultRowHeight="15" customHeight="1" x14ac:dyDescent="0.25"/>
  <cols>
    <col min="1" max="1" width="2.77734375" style="62" customWidth="1"/>
    <col min="2" max="2" width="15.77734375" style="62" customWidth="1"/>
    <col min="3" max="8" width="10.77734375" style="62" customWidth="1"/>
    <col min="9" max="9" width="15.77734375" style="62" customWidth="1"/>
    <col min="10" max="16" width="10.77734375" style="62" customWidth="1"/>
    <col min="17" max="17" width="2.77734375" style="62" customWidth="1"/>
    <col min="18" max="16384" width="9.109375" style="62"/>
  </cols>
  <sheetData>
    <row r="1" spans="2:30" ht="15" customHeight="1" thickBot="1" x14ac:dyDescent="0.3"/>
    <row r="2" spans="2:30" ht="30" customHeight="1" thickBot="1" x14ac:dyDescent="0.3">
      <c r="B2" s="83" t="s">
        <v>118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 t="s">
        <v>325</v>
      </c>
      <c r="R2" s="148" t="s">
        <v>29</v>
      </c>
      <c r="T2" s="50" t="s">
        <v>18</v>
      </c>
    </row>
    <row r="3" spans="2:30" ht="15" customHeight="1" x14ac:dyDescent="0.25">
      <c r="B3" s="87" t="s">
        <v>286</v>
      </c>
      <c r="C3" s="146" t="s">
        <v>273</v>
      </c>
      <c r="D3" s="88"/>
      <c r="E3" s="88"/>
      <c r="F3" s="88"/>
      <c r="G3" s="88"/>
      <c r="H3" s="88"/>
      <c r="I3" s="88"/>
      <c r="J3" s="88"/>
      <c r="K3" s="88"/>
      <c r="L3" s="88"/>
      <c r="M3" s="89" t="s">
        <v>65</v>
      </c>
      <c r="N3" s="69" t="s">
        <v>273</v>
      </c>
      <c r="O3" s="90" t="s">
        <v>64</v>
      </c>
      <c r="P3" s="70" t="s">
        <v>274</v>
      </c>
    </row>
    <row r="4" spans="2:30" ht="15" customHeight="1" x14ac:dyDescent="0.25">
      <c r="B4" s="91" t="s">
        <v>285</v>
      </c>
      <c r="C4" s="147" t="s">
        <v>287</v>
      </c>
      <c r="D4" s="92"/>
      <c r="E4" s="92"/>
      <c r="F4" s="92"/>
      <c r="G4" s="92"/>
      <c r="H4" s="92"/>
      <c r="I4" s="92"/>
      <c r="J4" s="93"/>
      <c r="K4" s="92"/>
      <c r="L4" s="92"/>
      <c r="M4" s="94" t="s">
        <v>119</v>
      </c>
      <c r="N4" s="52" t="s">
        <v>273</v>
      </c>
      <c r="O4" s="95" t="s">
        <v>64</v>
      </c>
      <c r="P4" s="68" t="s">
        <v>274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2:30" ht="15" customHeight="1" x14ac:dyDescent="0.25">
      <c r="B5" s="96"/>
      <c r="C5" s="97"/>
      <c r="D5" s="97"/>
      <c r="E5" s="97"/>
      <c r="F5" s="97"/>
      <c r="G5" s="97"/>
      <c r="H5" s="97"/>
      <c r="I5" s="97"/>
      <c r="J5" s="97"/>
      <c r="K5" s="98"/>
      <c r="L5" s="97"/>
      <c r="M5" s="97"/>
      <c r="N5" s="97"/>
      <c r="O5" s="97"/>
      <c r="P5" s="99"/>
      <c r="R5" s="149" t="s">
        <v>139</v>
      </c>
      <c r="S5" s="73"/>
      <c r="T5" s="73" t="s">
        <v>297</v>
      </c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2:30" ht="15" customHeight="1" x14ac:dyDescent="0.25">
      <c r="B6" s="100" t="s">
        <v>135</v>
      </c>
      <c r="C6" s="101"/>
      <c r="D6" s="248" t="str">
        <f>IF('WIND PRESSURE'!M33="YES","DIAMOND SHAPE","")</f>
        <v>DIAMOND SHAPE</v>
      </c>
      <c r="E6" s="92"/>
      <c r="F6" s="97"/>
      <c r="G6" s="97"/>
      <c r="H6" s="97"/>
      <c r="I6" s="97"/>
      <c r="J6" s="102" t="s">
        <v>164</v>
      </c>
      <c r="K6" s="92"/>
      <c r="L6" s="92"/>
      <c r="M6" s="92"/>
      <c r="N6" s="92"/>
      <c r="O6" s="97"/>
      <c r="P6" s="99"/>
      <c r="R6" s="73"/>
      <c r="S6" s="73"/>
      <c r="T6" s="150" t="s">
        <v>299</v>
      </c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2:30" ht="15" customHeight="1" x14ac:dyDescent="0.25">
      <c r="B7" s="96" t="s">
        <v>120</v>
      </c>
      <c r="C7" s="103" t="s">
        <v>131</v>
      </c>
      <c r="D7" s="66">
        <f>'WIND PRESSURE'!M26</f>
        <v>4.24</v>
      </c>
      <c r="E7" s="97" t="s">
        <v>24</v>
      </c>
      <c r="F7" s="74" t="str">
        <f>IF(D7&gt;=10,"SIGN WIDTH TOO BIG FOR P-POST","")</f>
        <v/>
      </c>
      <c r="G7" s="97"/>
      <c r="H7" s="97"/>
      <c r="I7" s="97"/>
      <c r="J7" s="104" t="s">
        <v>301</v>
      </c>
      <c r="K7" s="105"/>
      <c r="L7" s="103"/>
      <c r="M7" s="51">
        <v>30</v>
      </c>
      <c r="N7" s="97" t="s">
        <v>24</v>
      </c>
      <c r="O7" s="97"/>
      <c r="P7" s="99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2:30" ht="15" customHeight="1" x14ac:dyDescent="0.25">
      <c r="B8" s="96" t="s">
        <v>133</v>
      </c>
      <c r="C8" s="103" t="s">
        <v>132</v>
      </c>
      <c r="D8" s="66">
        <f>'WIND PRESSURE'!M27</f>
        <v>4.24</v>
      </c>
      <c r="E8" s="97" t="s">
        <v>24</v>
      </c>
      <c r="F8" s="74" t="str">
        <f>IF(D7*D8&gt;=50,"SIGN AREA TOO BIG FOR P-POST","")</f>
        <v/>
      </c>
      <c r="G8" s="97"/>
      <c r="H8" s="97"/>
      <c r="I8" s="97"/>
      <c r="J8" s="97" t="s">
        <v>282</v>
      </c>
      <c r="K8" s="97"/>
      <c r="L8" s="103"/>
      <c r="M8" s="51">
        <v>8</v>
      </c>
      <c r="N8" s="97" t="s">
        <v>24</v>
      </c>
      <c r="O8" s="97"/>
      <c r="P8" s="99"/>
      <c r="R8" s="73"/>
      <c r="S8" s="73"/>
      <c r="T8" s="150"/>
      <c r="U8" s="73"/>
      <c r="V8" s="73"/>
      <c r="W8" s="73"/>
      <c r="X8" s="73"/>
      <c r="Y8" s="73"/>
      <c r="Z8" s="73"/>
      <c r="AA8" s="73"/>
      <c r="AB8" s="73"/>
      <c r="AC8" s="73"/>
      <c r="AD8" s="73"/>
    </row>
    <row r="9" spans="2:30" ht="15" customHeight="1" x14ac:dyDescent="0.25">
      <c r="B9" s="96" t="s">
        <v>134</v>
      </c>
      <c r="C9" s="103" t="s">
        <v>124</v>
      </c>
      <c r="D9" s="51">
        <v>5</v>
      </c>
      <c r="E9" s="97" t="s">
        <v>24</v>
      </c>
      <c r="F9" s="74" t="str">
        <f>IF(D9&lt;5,"CLR. HGT. MIN. NOT MET (SEE NOTE BELOW)","SEE TDOT STD. DW.G T-S-9")</f>
        <v>SEE TDOT STD. DW.G T-S-9</v>
      </c>
      <c r="G9" s="97"/>
      <c r="H9" s="97"/>
      <c r="I9" s="97"/>
      <c r="J9" s="97" t="s">
        <v>283</v>
      </c>
      <c r="K9" s="97"/>
      <c r="L9" s="103"/>
      <c r="M9" s="51">
        <v>-0.04</v>
      </c>
      <c r="N9" s="97" t="s">
        <v>165</v>
      </c>
      <c r="O9" s="106"/>
      <c r="P9" s="107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</row>
    <row r="10" spans="2:30" ht="15" customHeight="1" x14ac:dyDescent="0.25">
      <c r="B10" s="96"/>
      <c r="C10" s="105"/>
      <c r="D10" s="97"/>
      <c r="E10" s="97"/>
      <c r="F10" s="97"/>
      <c r="G10" s="97"/>
      <c r="H10" s="97"/>
      <c r="I10" s="105"/>
      <c r="J10" s="97" t="s">
        <v>281</v>
      </c>
      <c r="K10" s="104"/>
      <c r="L10" s="108"/>
      <c r="M10" s="51">
        <v>12</v>
      </c>
      <c r="N10" s="97" t="s">
        <v>24</v>
      </c>
      <c r="O10" s="106"/>
      <c r="P10" s="107"/>
      <c r="R10" s="73"/>
      <c r="S10" s="73"/>
      <c r="T10" s="150"/>
      <c r="U10" s="150"/>
      <c r="V10" s="73"/>
      <c r="W10" s="73"/>
      <c r="X10" s="73"/>
      <c r="Y10" s="73"/>
      <c r="Z10" s="73"/>
      <c r="AA10" s="73"/>
      <c r="AB10" s="73"/>
      <c r="AC10" s="73"/>
      <c r="AD10" s="73"/>
    </row>
    <row r="11" spans="2:30" ht="15" customHeight="1" x14ac:dyDescent="0.25">
      <c r="B11" s="100" t="s">
        <v>147</v>
      </c>
      <c r="C11" s="101"/>
      <c r="D11" s="92"/>
      <c r="E11" s="92"/>
      <c r="F11" s="97"/>
      <c r="G11" s="105"/>
      <c r="H11" s="97"/>
      <c r="I11" s="105"/>
      <c r="J11" s="97" t="s">
        <v>284</v>
      </c>
      <c r="K11" s="105"/>
      <c r="L11" s="103"/>
      <c r="M11" s="51">
        <v>-6</v>
      </c>
      <c r="N11" s="97" t="s">
        <v>166</v>
      </c>
      <c r="O11" s="106"/>
      <c r="P11" s="107"/>
      <c r="R11" s="73"/>
      <c r="S11" s="73"/>
      <c r="U11" s="150"/>
      <c r="V11" s="73"/>
      <c r="W11" s="73"/>
      <c r="X11" s="73"/>
      <c r="Y11" s="73"/>
      <c r="Z11" s="73"/>
      <c r="AA11" s="73"/>
      <c r="AB11" s="73"/>
      <c r="AC11" s="73"/>
      <c r="AD11" s="73"/>
    </row>
    <row r="12" spans="2:30" ht="15" customHeight="1" x14ac:dyDescent="0.25">
      <c r="B12" s="109" t="s">
        <v>296</v>
      </c>
      <c r="C12" s="103" t="s">
        <v>40</v>
      </c>
      <c r="D12" s="110">
        <f>ROUNDUP('WIND PRESSURE'!D31,0)</f>
        <v>16</v>
      </c>
      <c r="E12" s="97" t="s">
        <v>55</v>
      </c>
      <c r="F12" s="97"/>
      <c r="G12" s="105"/>
      <c r="H12" s="97"/>
      <c r="I12" s="105"/>
      <c r="J12" s="97" t="s">
        <v>294</v>
      </c>
      <c r="K12" s="97"/>
      <c r="L12" s="97"/>
      <c r="M12" s="51">
        <v>-3</v>
      </c>
      <c r="N12" s="97" t="s">
        <v>166</v>
      </c>
      <c r="O12" s="106"/>
      <c r="P12" s="107"/>
      <c r="R12" s="73"/>
      <c r="S12" s="73"/>
      <c r="U12" s="150"/>
      <c r="V12" s="73"/>
      <c r="W12" s="73"/>
      <c r="X12" s="73"/>
      <c r="Y12" s="73"/>
      <c r="Z12" s="73"/>
      <c r="AA12" s="73"/>
      <c r="AB12" s="73"/>
      <c r="AC12" s="73"/>
      <c r="AD12" s="73"/>
    </row>
    <row r="13" spans="2:30" ht="15" customHeight="1" x14ac:dyDescent="0.25">
      <c r="B13" s="96" t="s">
        <v>136</v>
      </c>
      <c r="C13" s="103" t="s">
        <v>138</v>
      </c>
      <c r="D13" s="111">
        <f>ROUNDUP(D12*D7*D8*(MAX(L17:N17)-M13-D8/2),0)</f>
        <v>3921</v>
      </c>
      <c r="E13" s="97" t="s">
        <v>137</v>
      </c>
      <c r="F13" s="97"/>
      <c r="G13" s="97"/>
      <c r="H13" s="97"/>
      <c r="I13" s="105"/>
      <c r="J13" s="97" t="s">
        <v>292</v>
      </c>
      <c r="K13" s="97"/>
      <c r="L13" s="97"/>
      <c r="M13" s="51">
        <v>3</v>
      </c>
      <c r="N13" s="97" t="s">
        <v>24</v>
      </c>
      <c r="O13" s="74" t="s">
        <v>300</v>
      </c>
      <c r="P13" s="99"/>
      <c r="V13" s="73"/>
      <c r="W13" s="73"/>
      <c r="X13" s="73"/>
      <c r="Y13" s="73"/>
      <c r="Z13" s="73"/>
      <c r="AA13" s="73"/>
      <c r="AB13" s="73"/>
      <c r="AC13" s="73"/>
      <c r="AD13" s="73"/>
    </row>
    <row r="14" spans="2:30" ht="15" customHeight="1" x14ac:dyDescent="0.25">
      <c r="B14" s="96"/>
      <c r="C14" s="97"/>
      <c r="D14" s="97"/>
      <c r="E14" s="97"/>
      <c r="F14" s="97"/>
      <c r="G14" s="97"/>
      <c r="H14" s="97"/>
      <c r="I14" s="105"/>
      <c r="J14" s="104"/>
      <c r="K14" s="97"/>
      <c r="L14" s="97"/>
      <c r="M14" s="97"/>
      <c r="N14" s="97"/>
      <c r="O14" s="97"/>
      <c r="P14" s="99"/>
      <c r="V14" s="73"/>
      <c r="W14" s="73"/>
      <c r="X14" s="73"/>
      <c r="Y14" s="73"/>
      <c r="Z14" s="73"/>
      <c r="AA14" s="73"/>
      <c r="AB14" s="73"/>
      <c r="AC14" s="73"/>
      <c r="AD14" s="73"/>
    </row>
    <row r="15" spans="2:30" ht="15" customHeight="1" x14ac:dyDescent="0.25">
      <c r="B15" s="100" t="s">
        <v>141</v>
      </c>
      <c r="C15" s="92"/>
      <c r="D15" s="92"/>
      <c r="E15" s="92"/>
      <c r="F15" s="97"/>
      <c r="G15" s="97"/>
      <c r="H15" s="97"/>
      <c r="I15" s="97"/>
      <c r="J15" s="102" t="s">
        <v>190</v>
      </c>
      <c r="K15" s="92"/>
      <c r="L15" s="92"/>
      <c r="M15" s="92"/>
      <c r="N15" s="92"/>
      <c r="O15" s="97"/>
      <c r="P15" s="99"/>
      <c r="R15" s="149" t="s">
        <v>140</v>
      </c>
      <c r="S15" s="73"/>
      <c r="T15" s="72" t="s">
        <v>306</v>
      </c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5" customHeight="1" x14ac:dyDescent="0.25">
      <c r="B16" s="96" t="s">
        <v>143</v>
      </c>
      <c r="C16" s="112"/>
      <c r="D16" s="112">
        <f>IF(D7&gt;8,"",IF(AND(D6="DIAMOND SHAPE",D7&lt;5.65,D8&lt;5.65),1,IF(AND(D7&lt;=3,D7*D8&lt;12),1,IF(D7&gt;=6,3,2))))</f>
        <v>1</v>
      </c>
      <c r="E16" s="97"/>
      <c r="F16" s="105" t="str">
        <f>IF($D$16=1,"ONE-POST",IF($D$16=2,"SEE TWO-POST SCHEMATIC FOR POST SPACING",IF($D$16=3,"SEE THREE-POST SCHEMATIC FOR POST SPACING","")))</f>
        <v>ONE-POST</v>
      </c>
      <c r="G16" s="97"/>
      <c r="H16" s="97"/>
      <c r="I16" s="97"/>
      <c r="J16" s="97"/>
      <c r="K16" s="97"/>
      <c r="L16" s="112" t="s">
        <v>168</v>
      </c>
      <c r="M16" s="112" t="s">
        <v>169</v>
      </c>
      <c r="N16" s="112" t="s">
        <v>170</v>
      </c>
      <c r="O16" s="97"/>
      <c r="P16" s="99"/>
      <c r="R16" s="73"/>
      <c r="S16" s="73"/>
      <c r="T16" s="72" t="s">
        <v>314</v>
      </c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spans="2:30" ht="15" customHeight="1" x14ac:dyDescent="0.25">
      <c r="B17" s="96" t="s">
        <v>142</v>
      </c>
      <c r="C17" s="97"/>
      <c r="D17" s="113" t="str">
        <f>IF(D16="","",IF(D13&lt;='SECTION PROPERTIES'!O27*D16,'SECTION PROPERTIES'!B27,IF(AND(D13&gt;'SECTION PROPERTIES'!O27*D16,D13&lt;='SECTION PROPERTIES'!O28*D16),'SECTION PROPERTIES'!B28,IF(AND(D13&gt;'SECTION PROPERTIES'!O28*D16,D13&lt;='SECTION PROPERTIES'!O29*D16),'SECTION PROPERTIES'!B29,IF(AND(D13&gt;'SECTION PROPERTIES'!O29*D16,D13&lt;='SECTION PROPERTIES'!O30*D16),'SECTION PROPERTIES'!B30,IF(AND(D13&gt;'SECTION PROPERTIES'!O30*D16,D13&lt;='SECTION PROPERTIES'!O31*D16),'SECTION PROPERTIES'!B31,IF(AND(D13&gt;'SECTION PROPERTIES'!O31*D16,D13&lt;='SECTION PROPERTIES'!O32*D16),'SECTION PROPERTIES'!B32,IF(AND(D13&gt;'SECTION PROPERTIES'!O32*D16,D13&lt;='SECTION PROPERTIES'!O33*D16),'SECTION PROPERTIES'!B33,IF(AND(D13&gt;'SECTION PROPERTIES'!O33*D16,D13&lt;='SECTION PROPERTIES'!O34*D16),'SECTION PROPERTIES'!B34,'SECTION PROPERTIES'!B35)))))))))</f>
        <v>P6</v>
      </c>
      <c r="E17" s="97"/>
      <c r="F17" s="74" t="str">
        <f>IF(D16="","SIGN TOO BIG FOR P-POST","")</f>
        <v/>
      </c>
      <c r="G17" s="97"/>
      <c r="H17" s="97"/>
      <c r="I17" s="97"/>
      <c r="J17" s="97" t="s">
        <v>172</v>
      </c>
      <c r="K17" s="97"/>
      <c r="L17" s="114">
        <f>IF(D16="","",IF(AND(D6="DIAMOND SHAPE",D7&gt;=5.65,D8&gt;=5.65),CEILING(D9-M8*M9-M10*1/M11-1/M12*((M7-M8-M10)+(D7/2-15/12))+D8-17/12+M13,0.25),IF(M8+M10&lt;M7,CEILING(IF(D16=1,D9-M8*M9-M10*1/M11-1/M12*((M7-M8-M10)+(D7/2))+D8+M13,IF(D16=2,D9-M8*M9-M10*1/M11-1/M12*((M7-M8-M10)+(D7/5))+D8+M13,IF(D16=3,D9-M8*M9-M10*1/M11-1/M12*((M7-M8-M10)+(D7/6))+D8+M13))),0.25),IF(M8+M10&gt;M7,CEILING(IF(D16=1,D9-M8*M9-1/M11*((M7-M8)+(D7/2))+D8+M13,IF(D16=2,D9-M8*M9-1/M11*((M7-M8)+(D7/5))+D8+M13,IF(D16=3,D9-M8*M9-1/M11*((M7-M8)+(D7/6))+D8+M13))),0.25)))))</f>
        <v>18.75</v>
      </c>
      <c r="M17" s="115" t="str">
        <f>IF(OR(D16="",D16=1),"",IF(AND(D6="DIAMOND SHAPE",D7&gt;=5.65,D8&gt;=5.65),CEILING(D9-M8*M9-M10*1/M11-1/M12*((M7-M8-M10)+(D7/2+15/12))+D8-17/12+M13,0.25),IF(M8+M10&lt;M7,CEILING(IF(D16=2,D9-M8*M9-M10*1/M11-1/M12*((M7-M8-M10)+(4*D7/5))+D8+M13,IF(D16=3,D9-M8*M9-M10*1/M11-1/M12*((M7-M8-M10)+(D7/2))+D8+M13)),0.25),IF(M8+M10&gt;M7,CEILING(IF(D16=2,D9-M8*M9-1/M11*((M7-M8)+(4*D7/5))+D8+M13,IF(D16=3,D9-M8*M9-1/M11*((M7-M8)+(D7/2))+D8+M13)),0.25)))))</f>
        <v/>
      </c>
      <c r="N17" s="114" t="str">
        <f>IF(OR(D16="",D16=1,D16=2),"",IF(M8+M10&lt;M7,CEILING(IF(D16=3,D9-M8*M9-M10*1/M11-1/M12*((M7-M8-M10)+(5*D7/6))+D8+M13),0.25),IF(M8+M10&gt;M7,CEILING(IF(D16=3,D9-M8*M9-1/M11*((M7-M8)+(5*D7/6))+D8+M13),0.25))))</f>
        <v/>
      </c>
      <c r="O17" s="97" t="s">
        <v>24</v>
      </c>
      <c r="P17" s="99"/>
      <c r="R17" s="73"/>
      <c r="S17" s="73"/>
      <c r="T17" s="72" t="s">
        <v>313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5" customHeight="1" x14ac:dyDescent="0.25">
      <c r="B18" s="96" t="s">
        <v>121</v>
      </c>
      <c r="C18" s="97"/>
      <c r="D18" s="112">
        <f>IF(D16="","",INDEX('SECTION PROPERTIES'!$B$27:$O$35,MATCH(D17,'SECTION PROPERTIES'!$B$27:$B$35,0),2))</f>
        <v>2.5</v>
      </c>
      <c r="E18" s="97" t="s">
        <v>66</v>
      </c>
      <c r="F18" s="97"/>
      <c r="G18" s="97"/>
      <c r="H18" s="97"/>
      <c r="I18" s="97"/>
      <c r="J18" s="97" t="s">
        <v>173</v>
      </c>
      <c r="K18" s="97"/>
      <c r="L18" s="114">
        <f>IF(L17="","",VLOOKUP($D$17,'SECTION PROPERTIES'!$B$27:$T$35,4)*(L17-$M$13)+VLOOKUP($D$17,'SECTION PROPERTIES'!$B$27:$T$35,19))</f>
        <v>58.514750000000006</v>
      </c>
      <c r="M18" s="114" t="str">
        <f>IF(M17="","",VLOOKUP($D$17,'SECTION PROPERTIES'!$B$27:$T$35,4)*(M17-$M$13)+VLOOKUP($D$17,'SECTION PROPERTIES'!$B$27:$T$35,19))</f>
        <v/>
      </c>
      <c r="N18" s="114" t="str">
        <f>IF(N17="","",VLOOKUP($D$17,'SECTION PROPERTIES'!$B$27:$T$35,4)*(N17-$M$13)+VLOOKUP($D$17,'SECTION PROPERTIES'!$B$27:$T$35,19))</f>
        <v/>
      </c>
      <c r="O18" s="97" t="s">
        <v>167</v>
      </c>
      <c r="P18" s="99"/>
      <c r="R18" s="73"/>
      <c r="S18" s="73"/>
      <c r="T18" s="72" t="s">
        <v>308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spans="2:30" ht="15" customHeight="1" x14ac:dyDescent="0.25">
      <c r="B19" s="96" t="s">
        <v>144</v>
      </c>
      <c r="C19" s="97"/>
      <c r="D19" s="112">
        <f>IF(D16="","",INDEX('SECTION PROPERTIES'!$B$27:$O$35,MATCH(D17,'SECTION PROPERTIES'!$B$27:$B$35,0),3))</f>
        <v>10</v>
      </c>
      <c r="E19" s="97" t="s">
        <v>145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116" t="s">
        <v>189</v>
      </c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spans="2:30" ht="15" customHeight="1" x14ac:dyDescent="0.25">
      <c r="B20" s="96" t="s">
        <v>146</v>
      </c>
      <c r="C20" s="97"/>
      <c r="D20" s="113">
        <f>IF(D16="","",ROUNDDOWN(INDEX('SECTION PROPERTIES'!$B$27:$T$35,MATCH(D17,'SECTION PROPERTIES'!$B$27:$B$35,0),14),0)*D16)</f>
        <v>3946</v>
      </c>
      <c r="E20" s="97" t="s">
        <v>137</v>
      </c>
      <c r="F20" s="74" t="str">
        <f>IF(D17="","",IF(D20&gt;D13,"OK","NG; GO TO I-BEAM SELECTOR"))</f>
        <v>OK</v>
      </c>
      <c r="G20" s="97"/>
      <c r="H20" s="97"/>
      <c r="I20" s="97"/>
      <c r="J20" s="97" t="s">
        <v>187</v>
      </c>
      <c r="K20" s="97"/>
      <c r="L20" s="97"/>
      <c r="M20" s="97"/>
      <c r="N20" s="117">
        <f>IF(D16="","",SUM(L18:N18))</f>
        <v>58.514750000000006</v>
      </c>
      <c r="O20" s="97" t="s">
        <v>167</v>
      </c>
      <c r="P20" s="116" t="s">
        <v>188</v>
      </c>
      <c r="V20" s="73"/>
      <c r="W20" s="73"/>
      <c r="X20" s="73"/>
      <c r="Y20" s="73"/>
      <c r="Z20" s="73"/>
      <c r="AA20" s="73"/>
      <c r="AB20" s="73"/>
      <c r="AC20" s="73"/>
      <c r="AD20" s="73"/>
    </row>
    <row r="21" spans="2:30" ht="15" customHeight="1" x14ac:dyDescent="0.25">
      <c r="B21" s="118" t="str">
        <f>IF(OR(D17="P5",D17="P6",D17="P9"),"SLIP BASE REQUIRED IF NOT PROTECTED BY GUARDRAIL","")</f>
        <v>SLIP BASE REQUIRED IF NOT PROTECTED BY GUARDRAIL</v>
      </c>
      <c r="C21" s="97"/>
      <c r="D21" s="97"/>
      <c r="E21" s="97"/>
      <c r="F21" s="97"/>
      <c r="G21" s="97"/>
      <c r="H21" s="97"/>
      <c r="I21" s="97"/>
      <c r="J21" s="97" t="s">
        <v>223</v>
      </c>
      <c r="K21" s="97"/>
      <c r="L21" s="97"/>
      <c r="M21" s="97"/>
      <c r="N21" s="112" t="str">
        <f>IF(OR(B21="",M13&gt;0),"",D16)</f>
        <v/>
      </c>
      <c r="O21" s="97" t="s">
        <v>186</v>
      </c>
      <c r="P21" s="116" t="s">
        <v>191</v>
      </c>
      <c r="R21" s="149" t="s">
        <v>125</v>
      </c>
      <c r="S21" s="73"/>
      <c r="T21" s="72" t="s">
        <v>218</v>
      </c>
      <c r="V21" s="73"/>
      <c r="W21" s="73"/>
      <c r="X21" s="73"/>
      <c r="Y21" s="73"/>
      <c r="Z21" s="73"/>
      <c r="AA21" s="73"/>
      <c r="AB21" s="73"/>
      <c r="AC21" s="73"/>
      <c r="AD21" s="73"/>
    </row>
    <row r="22" spans="2:30" ht="15" customHeight="1" x14ac:dyDescent="0.25">
      <c r="B22" s="96" t="s">
        <v>278</v>
      </c>
      <c r="C22" s="97"/>
      <c r="D22" s="97"/>
      <c r="E22" s="97"/>
      <c r="F22" s="97"/>
      <c r="G22" s="97"/>
      <c r="H22" s="97"/>
      <c r="I22" s="97"/>
      <c r="J22" s="104" t="s">
        <v>219</v>
      </c>
      <c r="K22" s="104"/>
      <c r="L22" s="104"/>
      <c r="M22" s="104"/>
      <c r="N22" s="114" t="str">
        <f>IF(OR(B21="",M13&gt;0),"",IF(D16=1,VLOOKUP(D17,'SECTION PROPERTIES'!$B$27:$V$35,20),IF(D16=2,VLOOKUP(D17,'SECTION PROPERTIES'!$B$27:$V$35,20)*2,IF(D16=3,VLOOKUP(D17,'SECTION PROPERTIES'!$B$27:$V$35,20)*3))))</f>
        <v/>
      </c>
      <c r="O22" s="104" t="s">
        <v>224</v>
      </c>
      <c r="P22" s="119" t="s">
        <v>221</v>
      </c>
      <c r="T22" s="72" t="s">
        <v>280</v>
      </c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2:30" ht="15" customHeight="1" x14ac:dyDescent="0.25">
      <c r="B23" s="96" t="s">
        <v>142</v>
      </c>
      <c r="C23" s="97"/>
      <c r="D23" s="112" t="str">
        <f>IF(OR(D17="P1",D17="P2",D17="P3",D17="P4",D17="P7",D17="P8",D17="P9"),"R1","")</f>
        <v/>
      </c>
      <c r="E23" s="97"/>
      <c r="F23" s="97"/>
      <c r="G23" s="97"/>
      <c r="H23" s="97"/>
      <c r="I23" s="97"/>
      <c r="J23" s="104" t="s">
        <v>220</v>
      </c>
      <c r="K23" s="104"/>
      <c r="L23" s="104"/>
      <c r="M23" s="104"/>
      <c r="N23" s="114" t="str">
        <f>IF(OR(B21="",M13&gt;0),"",IF(D16=1,VLOOKUP(D17,'SECTION PROPERTIES'!$B$27:$V$35,21),IF(D16=2,VLOOKUP(D17,'SECTION PROPERTIES'!$B$27:$V$35,21)*2,IF(D16=3,VLOOKUP(D17,'SECTION PROPERTIES'!$B$27:$V$35,21)*3))))</f>
        <v/>
      </c>
      <c r="O23" s="104" t="s">
        <v>167</v>
      </c>
      <c r="P23" s="119" t="s">
        <v>222</v>
      </c>
      <c r="T23" s="62" t="s">
        <v>279</v>
      </c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2:30" ht="15" customHeight="1" x14ac:dyDescent="0.25">
      <c r="B24" s="96" t="s">
        <v>121</v>
      </c>
      <c r="C24" s="97"/>
      <c r="D24" s="112" t="str">
        <f>IF(D23="","",2.5)</f>
        <v/>
      </c>
      <c r="E24" s="97" t="s">
        <v>66</v>
      </c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9"/>
      <c r="U24" s="73"/>
      <c r="V24" s="73"/>
      <c r="W24" s="73"/>
      <c r="X24" s="73"/>
      <c r="Y24" s="73"/>
      <c r="Z24" s="73"/>
      <c r="AA24" s="73"/>
      <c r="AB24" s="73"/>
      <c r="AC24" s="73"/>
      <c r="AD24" s="73"/>
    </row>
    <row r="25" spans="2:30" ht="15" customHeight="1" x14ac:dyDescent="0.25">
      <c r="B25" s="96" t="s">
        <v>146</v>
      </c>
      <c r="C25" s="97"/>
      <c r="D25" s="120" t="str">
        <f>IF(D23="","",IF(D16=1,0.9*50000*0.754*1/12,IF(D16=2,0.9*50000*0.754*1/12*2,0.9*50000*0.754*1/12*3)))</f>
        <v/>
      </c>
      <c r="E25" s="97" t="s">
        <v>137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9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2:30" ht="15" customHeight="1" x14ac:dyDescent="0.25">
      <c r="B26" s="96"/>
      <c r="C26" s="97"/>
      <c r="D26" s="120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9"/>
      <c r="S26" s="73"/>
      <c r="T26" s="249" t="s">
        <v>318</v>
      </c>
      <c r="V26" s="73"/>
      <c r="W26" s="73"/>
      <c r="X26" s="73"/>
      <c r="Y26" s="73"/>
      <c r="Z26" s="73"/>
      <c r="AA26" s="73"/>
      <c r="AB26" s="73"/>
      <c r="AC26" s="73"/>
      <c r="AD26" s="73"/>
    </row>
    <row r="27" spans="2:30" ht="15" customHeight="1" x14ac:dyDescent="0.25">
      <c r="B27" s="96"/>
      <c r="C27" s="97"/>
      <c r="D27" s="121" t="s">
        <v>148</v>
      </c>
      <c r="E27" s="122"/>
      <c r="F27" s="122"/>
      <c r="G27" s="122"/>
      <c r="H27" s="122"/>
      <c r="I27" s="97"/>
      <c r="J27" s="121" t="s">
        <v>149</v>
      </c>
      <c r="K27" s="122"/>
      <c r="L27" s="122"/>
      <c r="M27" s="122"/>
      <c r="N27" s="122"/>
      <c r="O27" s="122"/>
      <c r="P27" s="99"/>
      <c r="S27" s="62" t="s">
        <v>324</v>
      </c>
      <c r="T27" s="62" t="s">
        <v>323</v>
      </c>
      <c r="V27" s="73"/>
      <c r="W27" s="73"/>
      <c r="X27" s="73"/>
      <c r="Y27" s="73"/>
      <c r="Z27" s="73"/>
      <c r="AA27" s="73"/>
      <c r="AB27" s="73"/>
      <c r="AC27" s="73"/>
      <c r="AD27" s="73"/>
    </row>
    <row r="28" spans="2:30" ht="15" customHeight="1" x14ac:dyDescent="0.25">
      <c r="B28" s="96"/>
      <c r="C28" s="97"/>
      <c r="D28" s="121"/>
      <c r="E28" s="122"/>
      <c r="F28" s="122"/>
      <c r="G28" s="122"/>
      <c r="H28" s="122"/>
      <c r="I28" s="97"/>
      <c r="J28" s="97"/>
      <c r="K28" s="97"/>
      <c r="L28" s="97"/>
      <c r="M28" s="97"/>
      <c r="N28" s="97"/>
      <c r="O28" s="97"/>
      <c r="P28" s="99"/>
      <c r="S28" s="73" t="s">
        <v>319</v>
      </c>
      <c r="T28" s="73" t="s">
        <v>317</v>
      </c>
      <c r="V28" s="73"/>
      <c r="W28" s="73"/>
      <c r="X28" s="73"/>
      <c r="Y28" s="73"/>
      <c r="Z28" s="73"/>
      <c r="AA28" s="73"/>
      <c r="AB28" s="73"/>
      <c r="AC28" s="73"/>
      <c r="AD28" s="73"/>
    </row>
    <row r="29" spans="2:30" ht="15" customHeight="1" x14ac:dyDescent="0.25">
      <c r="B29" s="96"/>
      <c r="C29" s="97"/>
      <c r="D29" s="97"/>
      <c r="E29" s="122" t="s">
        <v>120</v>
      </c>
      <c r="F29" s="122"/>
      <c r="G29" s="122"/>
      <c r="H29" s="97"/>
      <c r="I29" s="97"/>
      <c r="J29" s="97"/>
      <c r="K29" s="122" t="s">
        <v>120</v>
      </c>
      <c r="L29" s="122"/>
      <c r="M29" s="122"/>
      <c r="N29" s="122"/>
      <c r="O29" s="97"/>
      <c r="P29" s="99"/>
      <c r="R29" s="73"/>
      <c r="S29" s="73" t="s">
        <v>322</v>
      </c>
      <c r="T29" s="73" t="s">
        <v>321</v>
      </c>
      <c r="V29" s="73"/>
      <c r="W29" s="73"/>
      <c r="X29" s="73"/>
      <c r="Y29" s="73"/>
      <c r="Z29" s="73"/>
      <c r="AA29" s="73"/>
      <c r="AB29" s="73"/>
      <c r="AC29" s="73"/>
      <c r="AD29" s="73"/>
    </row>
    <row r="30" spans="2:30" ht="15" customHeight="1" x14ac:dyDescent="0.25">
      <c r="B30" s="96"/>
      <c r="C30" s="97"/>
      <c r="D30" s="123"/>
      <c r="E30" s="124"/>
      <c r="F30" s="125"/>
      <c r="G30" s="126"/>
      <c r="H30" s="97"/>
      <c r="I30" s="97"/>
      <c r="J30" s="123"/>
      <c r="K30" s="124"/>
      <c r="L30" s="125"/>
      <c r="M30" s="125"/>
      <c r="N30" s="126"/>
      <c r="O30" s="97"/>
      <c r="P30" s="99"/>
      <c r="R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2:30" ht="15" customHeight="1" x14ac:dyDescent="0.25">
      <c r="B31" s="96"/>
      <c r="C31" s="97"/>
      <c r="D31" s="127" t="s">
        <v>67</v>
      </c>
      <c r="E31" s="128" t="s">
        <v>67</v>
      </c>
      <c r="F31" s="122"/>
      <c r="G31" s="129"/>
      <c r="H31" s="97"/>
      <c r="I31" s="97"/>
      <c r="J31" s="127" t="s">
        <v>67</v>
      </c>
      <c r="K31" s="128" t="s">
        <v>67</v>
      </c>
      <c r="L31" s="122"/>
      <c r="M31" s="122"/>
      <c r="N31" s="129"/>
      <c r="O31" s="97"/>
      <c r="P31" s="99"/>
      <c r="R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2:30" ht="15" customHeight="1" x14ac:dyDescent="0.25">
      <c r="B32" s="96"/>
      <c r="C32" s="97"/>
      <c r="D32" s="127" t="s">
        <v>68</v>
      </c>
      <c r="E32" s="128" t="s">
        <v>122</v>
      </c>
      <c r="F32" s="122"/>
      <c r="G32" s="129"/>
      <c r="H32" s="97"/>
      <c r="I32" s="97"/>
      <c r="J32" s="127" t="s">
        <v>68</v>
      </c>
      <c r="K32" s="128" t="s">
        <v>122</v>
      </c>
      <c r="L32" s="122"/>
      <c r="M32" s="122"/>
      <c r="N32" s="129"/>
      <c r="O32" s="97"/>
      <c r="P32" s="99"/>
      <c r="R32" s="73"/>
      <c r="S32" s="73"/>
      <c r="T32" s="73"/>
      <c r="U32" s="73"/>
      <c r="W32" s="73"/>
      <c r="X32" s="73"/>
      <c r="Y32" s="73"/>
      <c r="Z32" s="73"/>
      <c r="AA32" s="73"/>
      <c r="AB32" s="73"/>
      <c r="AC32" s="73"/>
      <c r="AD32" s="73"/>
    </row>
    <row r="33" spans="2:30" ht="15" customHeight="1" x14ac:dyDescent="0.25">
      <c r="B33" s="96"/>
      <c r="C33" s="97"/>
      <c r="D33" s="123"/>
      <c r="E33" s="130"/>
      <c r="F33" s="92"/>
      <c r="G33" s="131"/>
      <c r="H33" s="97"/>
      <c r="I33" s="97"/>
      <c r="J33" s="123"/>
      <c r="K33" s="130"/>
      <c r="L33" s="92"/>
      <c r="M33" s="92"/>
      <c r="N33" s="131"/>
      <c r="O33" s="97"/>
      <c r="P33" s="99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</row>
    <row r="34" spans="2:30" ht="15" customHeight="1" x14ac:dyDescent="0.25">
      <c r="B34" s="96"/>
      <c r="C34" s="97"/>
      <c r="D34" s="97"/>
      <c r="E34" s="97"/>
      <c r="F34" s="132"/>
      <c r="G34" s="97"/>
      <c r="H34" s="97"/>
      <c r="I34" s="97"/>
      <c r="J34" s="97"/>
      <c r="K34" s="97"/>
      <c r="L34" s="124"/>
      <c r="M34" s="132"/>
      <c r="N34" s="97"/>
      <c r="O34" s="97"/>
      <c r="P34" s="99"/>
      <c r="R34" s="73"/>
      <c r="S34" s="73"/>
      <c r="T34" s="73"/>
    </row>
    <row r="35" spans="2:30" ht="15" customHeight="1" x14ac:dyDescent="0.25">
      <c r="B35" s="96"/>
      <c r="C35" s="97"/>
      <c r="D35" s="97"/>
      <c r="E35" s="97"/>
      <c r="F35" s="133"/>
      <c r="G35" s="97"/>
      <c r="H35" s="97"/>
      <c r="I35" s="97"/>
      <c r="J35" s="97"/>
      <c r="K35" s="97"/>
      <c r="L35" s="134"/>
      <c r="M35" s="133"/>
      <c r="N35" s="97"/>
      <c r="O35" s="97"/>
      <c r="P35" s="99"/>
      <c r="R35" s="73"/>
      <c r="S35" s="73"/>
      <c r="T35" s="73"/>
    </row>
    <row r="36" spans="2:30" ht="15" customHeight="1" x14ac:dyDescent="0.25">
      <c r="B36" s="96"/>
      <c r="C36" s="97"/>
      <c r="D36" s="97"/>
      <c r="E36" s="135" t="str">
        <f>IF($D$16=2,CONCATENATE(TRUNC($D$7*1/5)," ","FT"," ","-"," ",ROUND(($D$7*1/5-TRUNC($D$7*1/5))*12,0)," ","IN"),"")</f>
        <v/>
      </c>
      <c r="F36" s="136" t="str">
        <f>IF($D$16=2,CONCATENATE(TRUNC($D$7*3/5)," ","FT"," ","-"," ",ROUND(($D$7*3/5-TRUNC($D$7*3/5))*12,0)," ","IN"),"")</f>
        <v/>
      </c>
      <c r="G36" s="137" t="str">
        <f>IF($D$16=2,CONCATENATE(TRUNC($D$7*1/5)," ","FT"," ","-"," ",ROUND(($D$7*1/5-TRUNC($D$7*1/5))*12,0)," ","IN"),"")</f>
        <v/>
      </c>
      <c r="H36" s="97"/>
      <c r="I36" s="97"/>
      <c r="J36" s="97"/>
      <c r="K36" s="135" t="str">
        <f>IF($D$16=3,CONCATENATE(TRUNC($D$7*1/6)," ","FT"," ","-"," ",ROUND(($D$7*1/6-TRUNC($D$7*1/6))*12,0)," ","IN"),"")</f>
        <v/>
      </c>
      <c r="L36" s="138" t="str">
        <f>IF($D$16=3,CONCATENATE(TRUNC($D$7*1/3)," ","FT"," ","-"," ",ROUND(($D$7*1/3-TRUNC($D$7*1/3))*12,0)," ","IN"),"")</f>
        <v/>
      </c>
      <c r="M36" s="136" t="str">
        <f>IF($D$16=3,CONCATENATE(TRUNC($D$7*1/3)," ","FT"," ","-"," ",ROUND(($D$7*1/3-TRUNC($D$7*1/3))*12,0)," ","IN"),"")</f>
        <v/>
      </c>
      <c r="N36" s="137" t="str">
        <f>IF($D$16=3,CONCATENATE(TRUNC($D$7*1/6)," ","FT"," ","-"," ",ROUND(($D$7*1/6-TRUNC($D$7*1/6))*12,0)," ","IN"),"")</f>
        <v/>
      </c>
      <c r="O36" s="97"/>
      <c r="P36" s="99"/>
    </row>
    <row r="37" spans="2:30" ht="15" customHeight="1" x14ac:dyDescent="0.25">
      <c r="B37" s="96"/>
      <c r="C37" s="97"/>
      <c r="D37" s="139"/>
      <c r="E37" s="97"/>
      <c r="F37" s="140"/>
      <c r="G37" s="139"/>
      <c r="H37" s="97"/>
      <c r="I37" s="97"/>
      <c r="J37" s="139"/>
      <c r="K37" s="97"/>
      <c r="L37" s="141"/>
      <c r="M37" s="140"/>
      <c r="N37" s="139"/>
      <c r="O37" s="97"/>
      <c r="P37" s="99"/>
    </row>
    <row r="38" spans="2:30" ht="15" customHeight="1" x14ac:dyDescent="0.25">
      <c r="B38" s="96"/>
      <c r="C38" s="97"/>
      <c r="D38" s="92"/>
      <c r="E38" s="92"/>
      <c r="F38" s="142"/>
      <c r="G38" s="92"/>
      <c r="H38" s="92"/>
      <c r="I38" s="97"/>
      <c r="J38" s="92"/>
      <c r="K38" s="92"/>
      <c r="L38" s="130"/>
      <c r="M38" s="142"/>
      <c r="N38" s="92"/>
      <c r="O38" s="92"/>
      <c r="P38" s="99"/>
    </row>
    <row r="39" spans="2:30" ht="15" customHeight="1" x14ac:dyDescent="0.25">
      <c r="B39" s="96"/>
      <c r="C39" s="97"/>
      <c r="D39" s="122" t="s">
        <v>123</v>
      </c>
      <c r="E39" s="122"/>
      <c r="F39" s="122"/>
      <c r="G39" s="122"/>
      <c r="H39" s="122"/>
      <c r="I39" s="97"/>
      <c r="J39" s="122" t="s">
        <v>123</v>
      </c>
      <c r="K39" s="122"/>
      <c r="L39" s="122"/>
      <c r="M39" s="122"/>
      <c r="N39" s="122"/>
      <c r="O39" s="122"/>
      <c r="P39" s="99"/>
    </row>
    <row r="40" spans="2:30" ht="15" customHeight="1" x14ac:dyDescent="0.2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9"/>
    </row>
    <row r="41" spans="2:30" ht="15" customHeight="1" x14ac:dyDescent="0.2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9"/>
    </row>
    <row r="42" spans="2:30" ht="15" customHeight="1" thickBot="1" x14ac:dyDescent="0.3">
      <c r="B42" s="143" t="s">
        <v>128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  <row r="45" spans="2:30" ht="15" customHeight="1" x14ac:dyDescent="0.25">
      <c r="B45" s="151"/>
    </row>
  </sheetData>
  <sheetProtection sheet="1" objects="1" scenarios="1"/>
  <conditionalFormatting sqref="D17">
    <cfRule type="cellIs" dxfId="72" priority="2" operator="equal">
      <formula>"P1"</formula>
    </cfRule>
    <cfRule type="cellIs" dxfId="71" priority="25" operator="equal">
      <formula>"P2"</formula>
    </cfRule>
    <cfRule type="cellIs" dxfId="70" priority="26" operator="equal">
      <formula>"P3"</formula>
    </cfRule>
    <cfRule type="cellIs" dxfId="69" priority="27" operator="equal">
      <formula>"P4"</formula>
    </cfRule>
    <cfRule type="cellIs" dxfId="68" priority="28" operator="equal">
      <formula>"P5"</formula>
    </cfRule>
    <cfRule type="cellIs" dxfId="67" priority="34" operator="equal">
      <formula>"P6"</formula>
    </cfRule>
    <cfRule type="cellIs" dxfId="66" priority="35" operator="equal">
      <formula>"P7"</formula>
    </cfRule>
    <cfRule type="cellIs" dxfId="65" priority="36" operator="equal">
      <formula>"P8"</formula>
    </cfRule>
    <cfRule type="cellIs" dxfId="64" priority="37" operator="equal">
      <formula>"P9"</formula>
    </cfRule>
  </conditionalFormatting>
  <conditionalFormatting sqref="D18">
    <cfRule type="expression" dxfId="63" priority="21">
      <formula>$D$17="P1"</formula>
    </cfRule>
    <cfRule type="expression" dxfId="62" priority="22">
      <formula>$D$17="P2"</formula>
    </cfRule>
    <cfRule type="expression" dxfId="61" priority="23">
      <formula>$D$17="P3"</formula>
    </cfRule>
    <cfRule type="expression" dxfId="60" priority="24">
      <formula>$D$17="P4"</formula>
    </cfRule>
    <cfRule type="expression" dxfId="59" priority="29">
      <formula>$D$17="P5"</formula>
    </cfRule>
    <cfRule type="expression" dxfId="58" priority="30">
      <formula>$D$17="P6"</formula>
    </cfRule>
    <cfRule type="expression" dxfId="57" priority="31">
      <formula>$D$17="P7"</formula>
    </cfRule>
    <cfRule type="expression" dxfId="56" priority="32">
      <formula>$D$17="P8"</formula>
    </cfRule>
    <cfRule type="expression" dxfId="55" priority="33">
      <formula>$D$17="P9"</formula>
    </cfRule>
  </conditionalFormatting>
  <conditionalFormatting sqref="D19">
    <cfRule type="expression" dxfId="54" priority="12">
      <formula>$D$17="P1"</formula>
    </cfRule>
    <cfRule type="expression" dxfId="53" priority="13">
      <formula>$D$17="P2"</formula>
    </cfRule>
    <cfRule type="expression" dxfId="52" priority="14">
      <formula>$D$17="P3"</formula>
    </cfRule>
    <cfRule type="expression" dxfId="51" priority="15">
      <formula>$D$17="P4"</formula>
    </cfRule>
    <cfRule type="expression" dxfId="50" priority="16">
      <formula>$D$17="P5"</formula>
    </cfRule>
    <cfRule type="expression" dxfId="49" priority="17">
      <formula>$D$17="P6"</formula>
    </cfRule>
    <cfRule type="expression" dxfId="48" priority="18">
      <formula>$D$17="P7"</formula>
    </cfRule>
    <cfRule type="expression" dxfId="47" priority="19">
      <formula>$D$17="P8"</formula>
    </cfRule>
    <cfRule type="expression" dxfId="46" priority="20">
      <formula>$D$17="P9"</formula>
    </cfRule>
  </conditionalFormatting>
  <conditionalFormatting sqref="D20">
    <cfRule type="expression" dxfId="45" priority="3">
      <formula>$D$17="P1"</formula>
    </cfRule>
    <cfRule type="expression" dxfId="44" priority="4">
      <formula>$D$17="P2"</formula>
    </cfRule>
    <cfRule type="expression" dxfId="43" priority="5">
      <formula>$D$17="P3"</formula>
    </cfRule>
    <cfRule type="expression" dxfId="42" priority="6">
      <formula>$D$17="P4"</formula>
    </cfRule>
    <cfRule type="expression" dxfId="41" priority="7">
      <formula>$D$17="P5"</formula>
    </cfRule>
    <cfRule type="expression" dxfId="40" priority="8">
      <formula>$D$17="P6"</formula>
    </cfRule>
    <cfRule type="expression" dxfId="39" priority="9">
      <formula>$D$17="P7"</formula>
    </cfRule>
    <cfRule type="expression" dxfId="38" priority="10">
      <formula>$D$17="P8"</formula>
    </cfRule>
    <cfRule type="expression" dxfId="37" priority="11">
      <formula>$D$17="P9"</formula>
    </cfRule>
  </conditionalFormatting>
  <pageMargins left="0.7" right="0.7" top="0.75" bottom="0.75" header="0.3" footer="0.3"/>
  <pageSetup orientation="portrait" r:id="rId1"/>
  <ignoredErrors>
    <ignoredError sqref="F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B1:AD42"/>
  <sheetViews>
    <sheetView showGridLines="0" zoomScale="80" zoomScaleNormal="80" workbookViewId="0"/>
  </sheetViews>
  <sheetFormatPr defaultColWidth="9.109375" defaultRowHeight="15" customHeight="1" x14ac:dyDescent="0.25"/>
  <cols>
    <col min="1" max="1" width="2.77734375" style="62" customWidth="1"/>
    <col min="2" max="2" width="15.77734375" style="62" customWidth="1"/>
    <col min="3" max="8" width="10.77734375" style="62" customWidth="1"/>
    <col min="9" max="9" width="15.77734375" style="62" customWidth="1"/>
    <col min="10" max="16" width="10.77734375" style="62" customWidth="1"/>
    <col min="17" max="17" width="2.77734375" style="62" customWidth="1"/>
    <col min="18" max="16384" width="9.109375" style="62"/>
  </cols>
  <sheetData>
    <row r="1" spans="2:30" ht="15" customHeight="1" thickBot="1" x14ac:dyDescent="0.3"/>
    <row r="2" spans="2:30" ht="30" customHeight="1" thickBot="1" x14ac:dyDescent="0.3">
      <c r="B2" s="83" t="s">
        <v>240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 t="s">
        <v>325</v>
      </c>
      <c r="R2" s="148" t="s">
        <v>29</v>
      </c>
      <c r="T2" s="50" t="s">
        <v>18</v>
      </c>
    </row>
    <row r="3" spans="2:30" ht="15" customHeight="1" x14ac:dyDescent="0.25">
      <c r="B3" s="87" t="s">
        <v>286</v>
      </c>
      <c r="C3" s="146" t="s">
        <v>273</v>
      </c>
      <c r="D3" s="88"/>
      <c r="E3" s="88"/>
      <c r="F3" s="88"/>
      <c r="G3" s="88"/>
      <c r="H3" s="88"/>
      <c r="I3" s="88"/>
      <c r="J3" s="88"/>
      <c r="K3" s="88"/>
      <c r="L3" s="88"/>
      <c r="M3" s="89" t="s">
        <v>65</v>
      </c>
      <c r="N3" s="69" t="s">
        <v>273</v>
      </c>
      <c r="O3" s="90" t="s">
        <v>64</v>
      </c>
      <c r="P3" s="70" t="s">
        <v>274</v>
      </c>
    </row>
    <row r="4" spans="2:30" ht="15" customHeight="1" thickBot="1" x14ac:dyDescent="0.3">
      <c r="B4" s="96" t="s">
        <v>285</v>
      </c>
      <c r="C4" s="157" t="s">
        <v>287</v>
      </c>
      <c r="D4" s="97"/>
      <c r="E4" s="97"/>
      <c r="F4" s="97"/>
      <c r="G4" s="97"/>
      <c r="H4" s="97"/>
      <c r="I4" s="97"/>
      <c r="J4" s="153"/>
      <c r="K4" s="97"/>
      <c r="L4" s="97"/>
      <c r="M4" s="98" t="s">
        <v>119</v>
      </c>
      <c r="N4" s="64" t="s">
        <v>273</v>
      </c>
      <c r="O4" s="152" t="s">
        <v>64</v>
      </c>
      <c r="P4" s="63" t="s">
        <v>274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2:30" ht="15" customHeight="1" x14ac:dyDescent="0.25">
      <c r="B5" s="87"/>
      <c r="C5" s="88"/>
      <c r="D5" s="88"/>
      <c r="E5" s="88"/>
      <c r="F5" s="88"/>
      <c r="G5" s="88"/>
      <c r="H5" s="88"/>
      <c r="I5" s="88"/>
      <c r="J5" s="88"/>
      <c r="K5" s="89"/>
      <c r="L5" s="88"/>
      <c r="M5" s="88"/>
      <c r="N5" s="88"/>
      <c r="O5" s="88"/>
      <c r="P5" s="154"/>
      <c r="R5" s="149" t="s">
        <v>139</v>
      </c>
      <c r="S5" s="73"/>
      <c r="T5" s="73" t="s">
        <v>297</v>
      </c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2:30" ht="15" customHeight="1" x14ac:dyDescent="0.25">
      <c r="B6" s="100" t="s">
        <v>135</v>
      </c>
      <c r="C6" s="101"/>
      <c r="D6" s="238" t="str">
        <f>IF('WIND PRESSURE'!M31=0,"","AUXILIARY SIGN INCLUDED IN SIGN HEIGHT")</f>
        <v/>
      </c>
      <c r="E6" s="92"/>
      <c r="F6" s="97"/>
      <c r="G6" s="97"/>
      <c r="H6" s="97"/>
      <c r="I6" s="97"/>
      <c r="J6" s="102" t="s">
        <v>164</v>
      </c>
      <c r="K6" s="92"/>
      <c r="L6" s="92"/>
      <c r="M6" s="239"/>
      <c r="N6" s="246" t="s">
        <v>310</v>
      </c>
      <c r="O6" s="247" t="s">
        <v>311</v>
      </c>
      <c r="P6" s="119"/>
      <c r="R6" s="73"/>
      <c r="S6" s="73"/>
      <c r="T6" s="73" t="s">
        <v>305</v>
      </c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2:30" ht="15" customHeight="1" x14ac:dyDescent="0.25">
      <c r="B7" s="96" t="s">
        <v>120</v>
      </c>
      <c r="C7" s="103" t="s">
        <v>131</v>
      </c>
      <c r="D7" s="66">
        <f>'WIND PRESSURE'!M26</f>
        <v>4.24</v>
      </c>
      <c r="E7" s="97" t="s">
        <v>24</v>
      </c>
      <c r="F7" s="74" t="str">
        <f>IF(D7&lt;10,"SIGN WIDTH TOO SMALL FOR I-BEAM","")</f>
        <v>SIGN WIDTH TOO SMALL FOR I-BEAM</v>
      </c>
      <c r="G7" s="97"/>
      <c r="H7" s="97"/>
      <c r="I7" s="97"/>
      <c r="J7" s="104" t="s">
        <v>301</v>
      </c>
      <c r="K7" s="105"/>
      <c r="L7" s="103"/>
      <c r="M7" s="51">
        <v>30</v>
      </c>
      <c r="N7" s="97" t="s">
        <v>24</v>
      </c>
      <c r="O7" s="97"/>
      <c r="P7" s="99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2:30" ht="15" customHeight="1" x14ac:dyDescent="0.25">
      <c r="B8" s="96" t="s">
        <v>133</v>
      </c>
      <c r="C8" s="103" t="s">
        <v>132</v>
      </c>
      <c r="D8" s="66">
        <f>'WIND PRESSURE'!M27</f>
        <v>4.24</v>
      </c>
      <c r="E8" s="97" t="s">
        <v>24</v>
      </c>
      <c r="F8" s="74" t="str">
        <f>IF(D7*D8&lt;50,"SIGN AREA TOO SMALL FOR I-BEAM","")</f>
        <v>SIGN AREA TOO SMALL FOR I-BEAM</v>
      </c>
      <c r="G8" s="97"/>
      <c r="H8" s="97"/>
      <c r="I8" s="97"/>
      <c r="J8" s="97" t="s">
        <v>282</v>
      </c>
      <c r="K8" s="97"/>
      <c r="L8" s="105"/>
      <c r="M8" s="51">
        <v>8</v>
      </c>
      <c r="N8" s="97" t="s">
        <v>24</v>
      </c>
      <c r="O8" s="97" t="str">
        <f>IF(O6="FILL","","FORE SLOPE OFFSET")</f>
        <v>FORE SLOPE OFFSET</v>
      </c>
      <c r="P8" s="99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</row>
    <row r="9" spans="2:30" ht="15" customHeight="1" x14ac:dyDescent="0.25">
      <c r="B9" s="96" t="s">
        <v>134</v>
      </c>
      <c r="C9" s="103" t="s">
        <v>124</v>
      </c>
      <c r="D9" s="51">
        <v>7</v>
      </c>
      <c r="E9" s="97" t="s">
        <v>24</v>
      </c>
      <c r="F9" s="74" t="str">
        <f>IF(D9&lt;5,"CLR. HGT. MIN. NOT MET (SEE NOTE BELOW)","SEE TDOT STD. DW.G T-S-9")</f>
        <v>SEE TDOT STD. DW.G T-S-9</v>
      </c>
      <c r="G9" s="97"/>
      <c r="H9" s="97"/>
      <c r="I9" s="97"/>
      <c r="J9" s="97" t="s">
        <v>283</v>
      </c>
      <c r="K9" s="97"/>
      <c r="L9" s="105"/>
      <c r="M9" s="51">
        <v>-0.04</v>
      </c>
      <c r="N9" s="97" t="s">
        <v>165</v>
      </c>
      <c r="O9" s="97" t="str">
        <f>IF(O6="FILL","","FROM BREAKPOINT =")</f>
        <v>FROM BREAKPOINT =</v>
      </c>
      <c r="P9" s="99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</row>
    <row r="10" spans="2:30" ht="15" customHeight="1" x14ac:dyDescent="0.25">
      <c r="B10" s="96"/>
      <c r="C10" s="105"/>
      <c r="D10" s="97"/>
      <c r="E10" s="97"/>
      <c r="F10" s="97"/>
      <c r="G10" s="97"/>
      <c r="H10" s="97"/>
      <c r="I10" s="105"/>
      <c r="J10" s="97" t="s">
        <v>281</v>
      </c>
      <c r="K10" s="97"/>
      <c r="L10" s="105"/>
      <c r="M10" s="51">
        <v>12</v>
      </c>
      <c r="N10" s="97" t="s">
        <v>24</v>
      </c>
      <c r="O10" s="51">
        <v>10</v>
      </c>
      <c r="P10" s="99" t="str">
        <f>IF(O6="FILL","","FT")</f>
        <v>FT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</row>
    <row r="11" spans="2:30" ht="15" customHeight="1" x14ac:dyDescent="0.25">
      <c r="B11" s="100" t="s">
        <v>147</v>
      </c>
      <c r="C11" s="101"/>
      <c r="D11" s="92"/>
      <c r="E11" s="92"/>
      <c r="F11" s="97"/>
      <c r="G11" s="105"/>
      <c r="H11" s="97"/>
      <c r="I11" s="105"/>
      <c r="J11" s="97" t="s">
        <v>284</v>
      </c>
      <c r="K11" s="97"/>
      <c r="L11" s="105"/>
      <c r="M11" s="51">
        <v>-6</v>
      </c>
      <c r="N11" s="97" t="s">
        <v>166</v>
      </c>
      <c r="O11" s="104"/>
      <c r="P11" s="119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2:30" ht="15" customHeight="1" x14ac:dyDescent="0.25">
      <c r="B12" s="109" t="s">
        <v>296</v>
      </c>
      <c r="C12" s="103" t="s">
        <v>40</v>
      </c>
      <c r="D12" s="110">
        <f>ROUNDUP('WIND PRESSURE'!D31,0)</f>
        <v>16</v>
      </c>
      <c r="E12" s="97" t="s">
        <v>55</v>
      </c>
      <c r="F12" s="97"/>
      <c r="G12" s="105"/>
      <c r="H12" s="97"/>
      <c r="I12" s="105"/>
      <c r="J12" s="97" t="s">
        <v>309</v>
      </c>
      <c r="K12" s="97"/>
      <c r="L12" s="105"/>
      <c r="M12" s="51">
        <v>-3</v>
      </c>
      <c r="N12" s="97" t="s">
        <v>166</v>
      </c>
      <c r="O12" s="51">
        <v>3</v>
      </c>
      <c r="P12" s="119" t="str">
        <f>IF(O6="FILL","","H:V")</f>
        <v>H:V</v>
      </c>
      <c r="Y12" s="73"/>
      <c r="Z12" s="73"/>
      <c r="AA12" s="73"/>
      <c r="AB12" s="73"/>
      <c r="AC12" s="73"/>
      <c r="AD12" s="73"/>
    </row>
    <row r="13" spans="2:30" ht="15" customHeight="1" x14ac:dyDescent="0.25">
      <c r="B13" s="96" t="s">
        <v>136</v>
      </c>
      <c r="C13" s="103" t="s">
        <v>138</v>
      </c>
      <c r="D13" s="111">
        <f>ROUNDUP(D12*D7*D8*(MAX(L17:N17)-M13-D8/2),0)</f>
        <v>-1246</v>
      </c>
      <c r="E13" s="97" t="s">
        <v>137</v>
      </c>
      <c r="F13" s="97"/>
      <c r="G13" s="97"/>
      <c r="H13" s="97"/>
      <c r="I13" s="105"/>
      <c r="J13" s="97" t="s">
        <v>292</v>
      </c>
      <c r="K13" s="97"/>
      <c r="L13" s="97"/>
      <c r="M13" s="240">
        <f>2+2.5/12</f>
        <v>2.2083333333333335</v>
      </c>
      <c r="N13" s="97" t="s">
        <v>24</v>
      </c>
      <c r="O13" s="241" t="s">
        <v>302</v>
      </c>
      <c r="P13" s="99"/>
      <c r="V13" s="73"/>
      <c r="W13" s="73"/>
      <c r="X13" s="73"/>
      <c r="Y13" s="73"/>
      <c r="Z13" s="73"/>
      <c r="AA13" s="73"/>
      <c r="AB13" s="73"/>
      <c r="AC13" s="73"/>
      <c r="AD13" s="73"/>
    </row>
    <row r="14" spans="2:30" ht="15" customHeight="1" x14ac:dyDescent="0.25">
      <c r="B14" s="96"/>
      <c r="C14" s="97"/>
      <c r="D14" s="97"/>
      <c r="E14" s="97"/>
      <c r="F14" s="97"/>
      <c r="G14" s="97"/>
      <c r="H14" s="97"/>
      <c r="I14" s="105"/>
      <c r="J14" s="97"/>
      <c r="K14" s="97"/>
      <c r="L14" s="97"/>
      <c r="M14" s="97"/>
      <c r="N14" s="97"/>
      <c r="O14" s="97"/>
      <c r="P14" s="99"/>
      <c r="V14" s="73"/>
      <c r="W14" s="73"/>
      <c r="X14" s="73"/>
      <c r="Y14" s="73"/>
      <c r="Z14" s="73"/>
      <c r="AA14" s="73"/>
      <c r="AB14" s="73"/>
      <c r="AC14" s="73"/>
      <c r="AD14" s="73"/>
    </row>
    <row r="15" spans="2:30" ht="15" customHeight="1" x14ac:dyDescent="0.25">
      <c r="B15" s="100" t="s">
        <v>141</v>
      </c>
      <c r="C15" s="92"/>
      <c r="D15" s="92"/>
      <c r="E15" s="92"/>
      <c r="F15" s="97"/>
      <c r="G15" s="97"/>
      <c r="H15" s="97"/>
      <c r="I15" s="97"/>
      <c r="J15" s="102" t="s">
        <v>190</v>
      </c>
      <c r="K15" s="92"/>
      <c r="L15" s="92"/>
      <c r="M15" s="92"/>
      <c r="N15" s="92"/>
      <c r="O15" s="97"/>
      <c r="P15" s="99"/>
      <c r="R15" s="149" t="s">
        <v>140</v>
      </c>
      <c r="S15" s="73"/>
      <c r="T15" s="72" t="s">
        <v>241</v>
      </c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5" customHeight="1" x14ac:dyDescent="0.25">
      <c r="B16" s="96" t="s">
        <v>143</v>
      </c>
      <c r="C16" s="112"/>
      <c r="D16" s="112" t="str">
        <f>IF(OR(D7&lt;10,D7*D8&lt;50),"",IF(D7&lt;18,2,3))</f>
        <v/>
      </c>
      <c r="E16" s="97"/>
      <c r="F16" s="105" t="str">
        <f>IF($D$16=2,"SEE TWO-POST SCHEMATIC FOR POST SPACING",IF($D$16=3,"SEE THREE-POST SCHEMATIC FOR POST SPACING",""))</f>
        <v/>
      </c>
      <c r="G16" s="97"/>
      <c r="H16" s="97"/>
      <c r="I16" s="97"/>
      <c r="J16" s="97"/>
      <c r="K16" s="97"/>
      <c r="L16" s="112" t="s">
        <v>168</v>
      </c>
      <c r="M16" s="112" t="s">
        <v>169</v>
      </c>
      <c r="N16" s="112" t="s">
        <v>170</v>
      </c>
      <c r="O16" s="97"/>
      <c r="P16" s="99"/>
      <c r="R16" s="73"/>
      <c r="S16" s="73"/>
      <c r="T16" s="72" t="s">
        <v>211</v>
      </c>
      <c r="V16" s="73"/>
      <c r="W16" s="73"/>
      <c r="X16" s="73"/>
      <c r="Y16" s="73"/>
      <c r="Z16" s="73"/>
      <c r="AA16" s="73"/>
      <c r="AB16" s="73"/>
      <c r="AC16" s="73"/>
      <c r="AD16" s="73"/>
    </row>
    <row r="17" spans="2:30" ht="15" customHeight="1" x14ac:dyDescent="0.25">
      <c r="B17" s="96" t="s">
        <v>142</v>
      </c>
      <c r="C17" s="97"/>
      <c r="D17" s="113" t="str">
        <f>IF(D16="","",IF(D13&lt;='SECTION PROPERTIES'!O48*D16,'SECTION PROPERTIES'!B48,IF(AND(D13&gt;'SECTION PROPERTIES'!O48*D16,D13&lt;='SECTION PROPERTIES'!O49*D16),'SECTION PROPERTIES'!B49,IF(AND(D13&gt;'SECTION PROPERTIES'!O49*D16,D13&lt;='SECTION PROPERTIES'!O50*D16),'SECTION PROPERTIES'!B50,'SECTION PROPERTIES'!B51))))</f>
        <v/>
      </c>
      <c r="E17" s="97"/>
      <c r="F17" s="74" t="str">
        <f>IF(D16="","CHECK SIGN WIDTH &amp; SIGN AREA","")</f>
        <v>CHECK SIGN WIDTH &amp; SIGN AREA</v>
      </c>
      <c r="G17" s="97"/>
      <c r="H17" s="97"/>
      <c r="I17" s="97"/>
      <c r="J17" s="97" t="s">
        <v>172</v>
      </c>
      <c r="K17" s="97"/>
      <c r="L17" s="155" t="str">
        <f>IF(D16="","",IF(O6="FILL",CEILING(IF(D16=2,D9-M8*M9-M10*1/M11-1/M12*((M7-M8-M10)+(D7/5))+D8+M13,IF(D16=3,D9-M8*M9-M10*1/M11-1/M12*((M7-M8-M10)+(D7/6))+D8+M13)),0.25),IF(O6="CUT",CEILING(IF(D16=2,D9-M8*M9-M10*1/M11-O10*1/M12-1/O12*((M7-M8-M10-O10)+(D7/5))+D8+M13,IF(D16=3,D9-M8*M9-M10*1/M11-O10*1/M12-1/O12*((M7-M8-M10-O10)+(D7/6))+D8+M13)),0.25))))</f>
        <v/>
      </c>
      <c r="M17" s="115" t="str">
        <f>IF(D16="","",IF(O6="FILL",CEILING(IF(D16=2,D9-M8*M9-M10*1/M11-1/M12*((M7-M8-M10)+(4*D7/5))+D8+M13,IF(D16=3,D9-M8*M9-M10*1/M11-1/M12*((M7-M8-M10)+(D7/2))+D8+M13)),0.25),IF(O6="CUT",CEILING(IF(D16=2,D9-M8*M9-M10*1/M11-O10*1/M12-1/O12*((M7-M8-M10-O10)+(4*D7/5))+D8+M13,IF(D16=3,D9-M8*M9-M10*1/M11-O10*1/M12-1/O12*((M7-M8-M10-O10)+(D7/2))+D8+M13)),0.25))))</f>
        <v/>
      </c>
      <c r="N17" s="117" t="str">
        <f>IF(OR(D16="",D16=2),"",IF(O6="FILL",CEILING(IF(D16=3,D9-M8*M9-M10*1/M11-1/M12*((M7-M8-M10)+(5*D7/6))+D8+M13),0.25),IF(O6="CUT",CEILING(IF(D16=3,D9-M8*M9-M10*1/M11-O10*1/M12-1/O12*((M7-M8-M10-O10)+(5*D7/6))+D8+M13),0.25))))</f>
        <v/>
      </c>
      <c r="O17" s="97" t="s">
        <v>24</v>
      </c>
      <c r="P17" s="99"/>
      <c r="R17" s="73"/>
      <c r="S17" s="73"/>
      <c r="T17" s="72" t="s">
        <v>242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5" customHeight="1" x14ac:dyDescent="0.25">
      <c r="B18" s="96" t="s">
        <v>121</v>
      </c>
      <c r="C18" s="97"/>
      <c r="D18" s="112" t="str">
        <f>IF(D16="","",INDEX('SECTION PROPERTIES'!$B$48:$V$51,MATCH(D17,'SECTION PROPERTIES'!$B$48:$B$51,0),2))</f>
        <v/>
      </c>
      <c r="E18" s="97"/>
      <c r="F18" s="97"/>
      <c r="G18" s="97"/>
      <c r="H18" s="97"/>
      <c r="I18" s="97"/>
      <c r="J18" s="97" t="s">
        <v>173</v>
      </c>
      <c r="K18" s="97"/>
      <c r="L18" s="117" t="str">
        <f>IF(L17="","",VLOOKUP($D$17,'SECTION PROPERTIES'!$B$48:$V$51,4)*(L17))</f>
        <v/>
      </c>
      <c r="M18" s="117" t="str">
        <f>IF(M17="","",VLOOKUP($D$17,'SECTION PROPERTIES'!$B$48:$V$51,4)*(M17))</f>
        <v/>
      </c>
      <c r="N18" s="117" t="str">
        <f>IF(N17="","",VLOOKUP($D$17,'SECTION PROPERTIES'!$B$48:$V$51,4)*(N17))</f>
        <v/>
      </c>
      <c r="O18" s="97" t="s">
        <v>167</v>
      </c>
      <c r="P18" s="99"/>
      <c r="R18" s="73"/>
      <c r="S18" s="73"/>
      <c r="T18" s="72" t="s">
        <v>243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spans="2:30" ht="15" customHeight="1" x14ac:dyDescent="0.25">
      <c r="B19" s="96" t="s">
        <v>146</v>
      </c>
      <c r="C19" s="97"/>
      <c r="D19" s="113" t="str">
        <f>IF(D16="","",ROUNDDOWN(INDEX('SECTION PROPERTIES'!$B$48:$V$51,MATCH(D17,'SECTION PROPERTIES'!$B$48:$B$51,0),14),0)*D16)</f>
        <v/>
      </c>
      <c r="E19" s="97" t="s">
        <v>137</v>
      </c>
      <c r="F19" s="74" t="str">
        <f>IF(D16="","",IF(D19&gt;D13,"OK","NG; GO TO WF-BEAM SELECTOR"))</f>
        <v/>
      </c>
      <c r="G19" s="97"/>
      <c r="H19" s="97"/>
      <c r="I19" s="97"/>
      <c r="J19" s="139"/>
      <c r="K19" s="139"/>
      <c r="L19" s="139"/>
      <c r="M19" s="139"/>
      <c r="N19" s="139"/>
      <c r="O19" s="139"/>
      <c r="P19" s="237" t="s">
        <v>189</v>
      </c>
      <c r="R19" s="73"/>
      <c r="S19" s="73"/>
      <c r="T19" s="150"/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spans="2:30" ht="15" customHeight="1" x14ac:dyDescent="0.25">
      <c r="B20" s="96"/>
      <c r="C20" s="97"/>
      <c r="D20" s="97"/>
      <c r="E20" s="97"/>
      <c r="F20" s="97"/>
      <c r="G20" s="97"/>
      <c r="H20" s="97"/>
      <c r="I20" s="97"/>
      <c r="J20" s="97" t="s">
        <v>187</v>
      </c>
      <c r="K20" s="97"/>
      <c r="L20" s="97"/>
      <c r="M20" s="97"/>
      <c r="N20" s="117" t="str">
        <f>IF(D16="","",SUM(L18:N18))</f>
        <v/>
      </c>
      <c r="O20" s="97" t="s">
        <v>167</v>
      </c>
      <c r="P20" s="237" t="s">
        <v>216</v>
      </c>
      <c r="R20" s="73"/>
      <c r="S20" s="73"/>
      <c r="T20" s="72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2:30" ht="15" customHeight="1" x14ac:dyDescent="0.25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17"/>
      <c r="O21" s="97"/>
      <c r="P21" s="237"/>
      <c r="R21" s="149" t="s">
        <v>125</v>
      </c>
      <c r="S21" s="73"/>
      <c r="T21" s="72" t="s">
        <v>239</v>
      </c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2:30" ht="15" customHeight="1" x14ac:dyDescent="0.25">
      <c r="B22" s="96"/>
      <c r="C22" s="97"/>
      <c r="D22" s="97"/>
      <c r="E22" s="97"/>
      <c r="F22" s="97"/>
      <c r="G22" s="97"/>
      <c r="H22" s="97"/>
      <c r="I22" s="97"/>
      <c r="J22" s="104" t="s">
        <v>245</v>
      </c>
      <c r="K22" s="104"/>
      <c r="L22" s="104"/>
      <c r="M22" s="104"/>
      <c r="N22" s="114" t="str">
        <f>IF(D16="","",IF(D16=2,VLOOKUP(D17,'SECTION PROPERTIES'!$B$48:$V$51,20)*2,VLOOKUP(D17,'SECTION PROPERTIES'!$B$48:$V$51,20)*3))</f>
        <v/>
      </c>
      <c r="O22" s="104" t="s">
        <v>224</v>
      </c>
      <c r="P22" s="243" t="s">
        <v>221</v>
      </c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2:30" ht="15" customHeight="1" x14ac:dyDescent="0.25">
      <c r="B23" s="96"/>
      <c r="C23" s="97"/>
      <c r="D23" s="97"/>
      <c r="E23" s="97"/>
      <c r="F23" s="97"/>
      <c r="G23" s="97"/>
      <c r="H23" s="97"/>
      <c r="I23" s="97"/>
      <c r="J23" s="104" t="s">
        <v>246</v>
      </c>
      <c r="K23" s="104"/>
      <c r="L23" s="104"/>
      <c r="M23" s="104"/>
      <c r="N23" s="114" t="str">
        <f>IF(D16="","",IF(D16=2,VLOOKUP(D17,'SECTION PROPERTIES'!$B$48:$V$51,21)*2,VLOOKUP(D17,'SECTION PROPERTIES'!$B$48:$V$51,21)*3))</f>
        <v/>
      </c>
      <c r="O23" s="104" t="s">
        <v>167</v>
      </c>
      <c r="P23" s="243" t="s">
        <v>222</v>
      </c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2:30" ht="15" customHeight="1" x14ac:dyDescent="0.25">
      <c r="B24" s="96"/>
      <c r="C24" s="97"/>
      <c r="D24" s="97"/>
      <c r="E24" s="97"/>
      <c r="F24" s="97"/>
      <c r="G24" s="97"/>
      <c r="H24" s="97"/>
      <c r="I24" s="97"/>
      <c r="J24" s="74" t="str">
        <f>IF('WIND PRESSURE'!M31=0,"","POST LENGTH ADJUSTED FOR AUXILIARY SIGN ; AUX SUPPORT")</f>
        <v/>
      </c>
      <c r="K24" s="97"/>
      <c r="L24" s="97"/>
      <c r="M24" s="97"/>
      <c r="N24" s="97"/>
      <c r="O24" s="97"/>
      <c r="P24" s="237" t="str">
        <f>IF(J24="","","713-17.02")</f>
        <v/>
      </c>
      <c r="T24" s="244"/>
      <c r="U24" s="73"/>
      <c r="V24" s="73"/>
      <c r="W24" s="73"/>
      <c r="X24" s="73"/>
      <c r="Y24" s="73"/>
      <c r="Z24" s="73"/>
      <c r="AA24" s="73"/>
      <c r="AB24" s="73"/>
      <c r="AC24" s="73"/>
      <c r="AD24" s="73"/>
    </row>
    <row r="25" spans="2:30" ht="15" customHeight="1" x14ac:dyDescent="0.25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9"/>
      <c r="T25" s="244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2:30" ht="15" customHeight="1" x14ac:dyDescent="0.2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9"/>
      <c r="R26" s="73"/>
      <c r="S26" s="245"/>
      <c r="T26" s="150"/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2:30" ht="15" customHeight="1" x14ac:dyDescent="0.25">
      <c r="B27" s="96"/>
      <c r="C27" s="97"/>
      <c r="D27" s="121" t="s">
        <v>148</v>
      </c>
      <c r="E27" s="122"/>
      <c r="F27" s="122"/>
      <c r="G27" s="122"/>
      <c r="H27" s="122"/>
      <c r="I27" s="97"/>
      <c r="J27" s="121" t="s">
        <v>149</v>
      </c>
      <c r="K27" s="122"/>
      <c r="L27" s="122"/>
      <c r="M27" s="122"/>
      <c r="N27" s="122"/>
      <c r="O27" s="122"/>
      <c r="P27" s="99"/>
      <c r="R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2:30" ht="15" customHeight="1" x14ac:dyDescent="0.25">
      <c r="B28" s="96"/>
      <c r="C28" s="97"/>
      <c r="D28" s="121"/>
      <c r="E28" s="122"/>
      <c r="F28" s="122"/>
      <c r="G28" s="122"/>
      <c r="H28" s="122"/>
      <c r="I28" s="97"/>
      <c r="J28" s="97"/>
      <c r="K28" s="97"/>
      <c r="L28" s="97"/>
      <c r="M28" s="97"/>
      <c r="N28" s="97"/>
      <c r="O28" s="97"/>
      <c r="P28" s="99"/>
      <c r="R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2:30" ht="15" customHeight="1" x14ac:dyDescent="0.25">
      <c r="B29" s="96"/>
      <c r="C29" s="97"/>
      <c r="D29" s="97"/>
      <c r="E29" s="122" t="s">
        <v>120</v>
      </c>
      <c r="F29" s="122"/>
      <c r="G29" s="122"/>
      <c r="H29" s="97"/>
      <c r="I29" s="97"/>
      <c r="J29" s="97"/>
      <c r="K29" s="122" t="s">
        <v>120</v>
      </c>
      <c r="L29" s="122"/>
      <c r="M29" s="122"/>
      <c r="N29" s="122"/>
      <c r="O29" s="97"/>
      <c r="P29" s="99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</row>
    <row r="30" spans="2:30" ht="15" customHeight="1" x14ac:dyDescent="0.25">
      <c r="B30" s="96"/>
      <c r="C30" s="97"/>
      <c r="D30" s="123"/>
      <c r="E30" s="124"/>
      <c r="F30" s="125"/>
      <c r="G30" s="126"/>
      <c r="H30" s="97"/>
      <c r="I30" s="97"/>
      <c r="J30" s="123"/>
      <c r="K30" s="124"/>
      <c r="L30" s="125"/>
      <c r="M30" s="125"/>
      <c r="N30" s="126"/>
      <c r="O30" s="97"/>
      <c r="P30" s="99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2:30" ht="15" customHeight="1" x14ac:dyDescent="0.25">
      <c r="B31" s="96"/>
      <c r="C31" s="97"/>
      <c r="D31" s="127" t="s">
        <v>67</v>
      </c>
      <c r="E31" s="128" t="s">
        <v>67</v>
      </c>
      <c r="F31" s="122"/>
      <c r="G31" s="129"/>
      <c r="H31" s="97"/>
      <c r="I31" s="97"/>
      <c r="J31" s="127" t="s">
        <v>67</v>
      </c>
      <c r="K31" s="128" t="s">
        <v>67</v>
      </c>
      <c r="L31" s="122"/>
      <c r="M31" s="122"/>
      <c r="N31" s="129"/>
      <c r="O31" s="97"/>
      <c r="P31" s="99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2:30" ht="15" customHeight="1" x14ac:dyDescent="0.25">
      <c r="B32" s="96"/>
      <c r="C32" s="97"/>
      <c r="D32" s="127" t="s">
        <v>68</v>
      </c>
      <c r="E32" s="128" t="s">
        <v>122</v>
      </c>
      <c r="F32" s="122"/>
      <c r="G32" s="129"/>
      <c r="H32" s="97"/>
      <c r="I32" s="97"/>
      <c r="J32" s="127" t="s">
        <v>68</v>
      </c>
      <c r="K32" s="128" t="s">
        <v>122</v>
      </c>
      <c r="L32" s="122"/>
      <c r="M32" s="122"/>
      <c r="N32" s="129"/>
      <c r="O32" s="97"/>
      <c r="P32" s="99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</row>
    <row r="33" spans="2:16" ht="15" customHeight="1" x14ac:dyDescent="0.25">
      <c r="B33" s="96"/>
      <c r="C33" s="97"/>
      <c r="D33" s="123"/>
      <c r="E33" s="130"/>
      <c r="F33" s="92"/>
      <c r="G33" s="131"/>
      <c r="H33" s="97"/>
      <c r="I33" s="97"/>
      <c r="J33" s="123"/>
      <c r="K33" s="130"/>
      <c r="L33" s="92"/>
      <c r="M33" s="92"/>
      <c r="N33" s="131"/>
      <c r="O33" s="97"/>
      <c r="P33" s="99"/>
    </row>
    <row r="34" spans="2:16" ht="15" customHeight="1" x14ac:dyDescent="0.25">
      <c r="B34" s="96"/>
      <c r="C34" s="97"/>
      <c r="D34" s="97"/>
      <c r="E34" s="97"/>
      <c r="F34" s="132"/>
      <c r="G34" s="97"/>
      <c r="H34" s="97"/>
      <c r="I34" s="97"/>
      <c r="J34" s="97"/>
      <c r="K34" s="97"/>
      <c r="L34" s="124"/>
      <c r="M34" s="132"/>
      <c r="N34" s="97"/>
      <c r="O34" s="97"/>
      <c r="P34" s="99"/>
    </row>
    <row r="35" spans="2:16" ht="15" customHeight="1" x14ac:dyDescent="0.25">
      <c r="B35" s="96"/>
      <c r="C35" s="97"/>
      <c r="D35" s="97"/>
      <c r="E35" s="97"/>
      <c r="F35" s="133"/>
      <c r="G35" s="97"/>
      <c r="H35" s="97"/>
      <c r="I35" s="97"/>
      <c r="J35" s="97"/>
      <c r="K35" s="97"/>
      <c r="L35" s="134"/>
      <c r="M35" s="133"/>
      <c r="N35" s="97"/>
      <c r="O35" s="97"/>
      <c r="P35" s="99"/>
    </row>
    <row r="36" spans="2:16" ht="15" customHeight="1" x14ac:dyDescent="0.25">
      <c r="B36" s="96"/>
      <c r="C36" s="97"/>
      <c r="D36" s="97"/>
      <c r="E36" s="135" t="str">
        <f>IF($D$16=2,CONCATENATE(TRUNC($D$7*1/5)," ","FT"," ","-"," ",ROUND(($D$7*1/5-TRUNC($D$7*1/5))*12,0)," ","IN"),"")</f>
        <v/>
      </c>
      <c r="F36" s="136" t="str">
        <f>IF($D$16=2,CONCATENATE(TRUNC($D$7*3/5)," ","FT"," ","-"," ",ROUND(($D$7*3/5-TRUNC($D$7*3/5))*12,0)," ","IN"),"")</f>
        <v/>
      </c>
      <c r="G36" s="137" t="str">
        <f>IF($D$16=2,CONCATENATE(TRUNC($D$7*1/5)," ","FT"," ","-"," ",ROUND(($D$7*1/5-TRUNC($D$7*1/5))*12,0)," ","IN"),"")</f>
        <v/>
      </c>
      <c r="H36" s="97"/>
      <c r="I36" s="97"/>
      <c r="J36" s="97"/>
      <c r="K36" s="135" t="str">
        <f>IF($D$16=3,CONCATENATE(TRUNC($D$7*1/6)," ","FT"," ","-"," ",ROUND(($D$7*1/6-TRUNC($D$7*1/6))*12,0)," ","IN"),"")</f>
        <v/>
      </c>
      <c r="L36" s="138" t="str">
        <f>IF($D$16=3,CONCATENATE(TRUNC($D$7*1/3)," ","FT"," ","-"," ",ROUND(($D$7*1/3-TRUNC($D$7*1/3))*12,0)," ","IN"),"")</f>
        <v/>
      </c>
      <c r="M36" s="136" t="str">
        <f>IF($D$16=3,CONCATENATE(TRUNC($D$7*1/3)," ","FT"," ","-"," ",ROUND(($D$7*1/3-TRUNC($D$7*1/3))*12,0)," ","IN"),"")</f>
        <v/>
      </c>
      <c r="N36" s="137" t="str">
        <f>IF($D$16=3,CONCATENATE(TRUNC($D$7*1/6)," ","FT"," ","-"," ",ROUND(($D$7*1/6-TRUNC($D$7*1/6))*12,0)," ","IN"),"")</f>
        <v/>
      </c>
      <c r="O36" s="97"/>
      <c r="P36" s="99"/>
    </row>
    <row r="37" spans="2:16" ht="15" customHeight="1" x14ac:dyDescent="0.25">
      <c r="B37" s="96"/>
      <c r="C37" s="97"/>
      <c r="D37" s="139"/>
      <c r="E37" s="97"/>
      <c r="F37" s="140"/>
      <c r="G37" s="139"/>
      <c r="H37" s="97"/>
      <c r="I37" s="97"/>
      <c r="J37" s="139"/>
      <c r="K37" s="97"/>
      <c r="L37" s="141"/>
      <c r="M37" s="140"/>
      <c r="N37" s="139"/>
      <c r="O37" s="97"/>
      <c r="P37" s="99"/>
    </row>
    <row r="38" spans="2:16" ht="15" customHeight="1" x14ac:dyDescent="0.25">
      <c r="B38" s="96"/>
      <c r="C38" s="97"/>
      <c r="D38" s="92"/>
      <c r="E38" s="92"/>
      <c r="F38" s="142"/>
      <c r="G38" s="92"/>
      <c r="H38" s="92"/>
      <c r="I38" s="97"/>
      <c r="J38" s="92"/>
      <c r="K38" s="92"/>
      <c r="L38" s="130"/>
      <c r="M38" s="142"/>
      <c r="N38" s="92"/>
      <c r="O38" s="92"/>
      <c r="P38" s="99"/>
    </row>
    <row r="39" spans="2:16" ht="15" customHeight="1" x14ac:dyDescent="0.25">
      <c r="B39" s="96"/>
      <c r="C39" s="97"/>
      <c r="D39" s="122" t="s">
        <v>123</v>
      </c>
      <c r="E39" s="122"/>
      <c r="F39" s="122"/>
      <c r="G39" s="122"/>
      <c r="H39" s="122"/>
      <c r="I39" s="97"/>
      <c r="J39" s="122" t="s">
        <v>123</v>
      </c>
      <c r="K39" s="122"/>
      <c r="L39" s="122"/>
      <c r="M39" s="122"/>
      <c r="N39" s="122"/>
      <c r="O39" s="122"/>
      <c r="P39" s="99"/>
    </row>
    <row r="40" spans="2:16" ht="15" customHeight="1" x14ac:dyDescent="0.2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9"/>
    </row>
    <row r="41" spans="2:16" ht="15" customHeight="1" x14ac:dyDescent="0.2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9"/>
    </row>
    <row r="42" spans="2:16" ht="15" customHeight="1" thickBot="1" x14ac:dyDescent="0.3">
      <c r="B42" s="143" t="s">
        <v>128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sheetProtection sheet="1" objects="1" scenarios="1"/>
  <conditionalFormatting sqref="D17">
    <cfRule type="cellIs" dxfId="36" priority="14" operator="equal">
      <formula>"S3"</formula>
    </cfRule>
    <cfRule type="cellIs" dxfId="35" priority="15" operator="equal">
      <formula>"S4"</formula>
    </cfRule>
    <cfRule type="cellIs" dxfId="34" priority="16" operator="equal">
      <formula>"S5"</formula>
    </cfRule>
    <cfRule type="cellIs" dxfId="33" priority="17" operator="equal">
      <formula>"S6"</formula>
    </cfRule>
  </conditionalFormatting>
  <conditionalFormatting sqref="D18">
    <cfRule type="expression" dxfId="32" priority="22">
      <formula>$D$17="S3"</formula>
    </cfRule>
    <cfRule type="expression" dxfId="31" priority="23">
      <formula>$D$17="S4"</formula>
    </cfRule>
    <cfRule type="expression" dxfId="30" priority="24">
      <formula>$D$17="S5"</formula>
    </cfRule>
    <cfRule type="expression" dxfId="29" priority="27">
      <formula>$D$17="S6"</formula>
    </cfRule>
  </conditionalFormatting>
  <conditionalFormatting sqref="D19">
    <cfRule type="expression" dxfId="28" priority="28">
      <formula>$D$17="S3"</formula>
    </cfRule>
    <cfRule type="expression" dxfId="27" priority="30">
      <formula>$D$17="S4"</formula>
    </cfRule>
    <cfRule type="expression" dxfId="26" priority="31">
      <formula>$D$17="S5"</formula>
    </cfRule>
    <cfRule type="expression" dxfId="25" priority="33">
      <formula>$D$17="S6"</formula>
    </cfRule>
  </conditionalFormatting>
  <conditionalFormatting sqref="O10">
    <cfRule type="expression" dxfId="24" priority="2">
      <formula>$O$6="FILL"</formula>
    </cfRule>
  </conditionalFormatting>
  <conditionalFormatting sqref="O12">
    <cfRule type="expression" dxfId="23" priority="1">
      <formula>$O$6="FILL"</formula>
    </cfRule>
  </conditionalFormatting>
  <dataValidations count="1">
    <dataValidation type="list" allowBlank="1" showInputMessage="1" showErrorMessage="1" sqref="O6">
      <formula1>"CUT,FILL"</formula1>
    </dataValidation>
  </dataValidations>
  <pageMargins left="0.7" right="0.7" top="0.75" bottom="0.75" header="0.3" footer="0.3"/>
  <pageSetup orientation="portrait" r:id="rId1"/>
  <ignoredErrors>
    <ignoredError sqref="F36" formula="1"/>
    <ignoredError sqref="M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B1:AD42"/>
  <sheetViews>
    <sheetView showGridLines="0" zoomScale="80" zoomScaleNormal="80" workbookViewId="0"/>
  </sheetViews>
  <sheetFormatPr defaultColWidth="9.109375" defaultRowHeight="15" customHeight="1" x14ac:dyDescent="0.25"/>
  <cols>
    <col min="1" max="1" width="2.77734375" style="62" customWidth="1"/>
    <col min="2" max="2" width="15.77734375" style="62" customWidth="1"/>
    <col min="3" max="8" width="10.77734375" style="62" customWidth="1"/>
    <col min="9" max="9" width="15.77734375" style="62" customWidth="1"/>
    <col min="10" max="16" width="10.77734375" style="62" customWidth="1"/>
    <col min="17" max="17" width="2.77734375" style="62" customWidth="1"/>
    <col min="18" max="16384" width="9.109375" style="62"/>
  </cols>
  <sheetData>
    <row r="1" spans="2:30" ht="15" customHeight="1" thickBot="1" x14ac:dyDescent="0.3"/>
    <row r="2" spans="2:30" ht="30" customHeight="1" thickBot="1" x14ac:dyDescent="0.3">
      <c r="B2" s="83" t="s">
        <v>215</v>
      </c>
      <c r="C2" s="84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 t="s">
        <v>325</v>
      </c>
      <c r="R2" s="148" t="s">
        <v>29</v>
      </c>
      <c r="T2" s="50" t="s">
        <v>18</v>
      </c>
    </row>
    <row r="3" spans="2:30" ht="15" customHeight="1" x14ac:dyDescent="0.25">
      <c r="B3" s="87" t="s">
        <v>286</v>
      </c>
      <c r="C3" s="146" t="s">
        <v>273</v>
      </c>
      <c r="D3" s="97"/>
      <c r="E3" s="97"/>
      <c r="F3" s="97"/>
      <c r="G3" s="97"/>
      <c r="H3" s="97"/>
      <c r="I3" s="97"/>
      <c r="J3" s="97"/>
      <c r="K3" s="97"/>
      <c r="L3" s="97"/>
      <c r="M3" s="98" t="s">
        <v>65</v>
      </c>
      <c r="N3" s="64" t="s">
        <v>273</v>
      </c>
      <c r="O3" s="152" t="s">
        <v>64</v>
      </c>
      <c r="P3" s="63" t="s">
        <v>274</v>
      </c>
    </row>
    <row r="4" spans="2:30" ht="15" customHeight="1" x14ac:dyDescent="0.25">
      <c r="B4" s="91" t="s">
        <v>285</v>
      </c>
      <c r="C4" s="147" t="s">
        <v>287</v>
      </c>
      <c r="D4" s="92"/>
      <c r="E4" s="92"/>
      <c r="F4" s="92"/>
      <c r="G4" s="92"/>
      <c r="H4" s="92"/>
      <c r="I4" s="92"/>
      <c r="J4" s="93"/>
      <c r="K4" s="92"/>
      <c r="L4" s="92"/>
      <c r="M4" s="94" t="s">
        <v>119</v>
      </c>
      <c r="N4" s="52" t="s">
        <v>273</v>
      </c>
      <c r="O4" s="95" t="s">
        <v>64</v>
      </c>
      <c r="P4" s="68" t="s">
        <v>274</v>
      </c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</row>
    <row r="5" spans="2:30" ht="15" customHeight="1" x14ac:dyDescent="0.25">
      <c r="B5" s="96"/>
      <c r="C5" s="97"/>
      <c r="D5" s="97"/>
      <c r="E5" s="97"/>
      <c r="F5" s="97"/>
      <c r="G5" s="97"/>
      <c r="H5" s="97"/>
      <c r="I5" s="97"/>
      <c r="J5" s="97"/>
      <c r="K5" s="98"/>
      <c r="L5" s="97"/>
      <c r="M5" s="97"/>
      <c r="N5" s="97"/>
      <c r="O5" s="97"/>
      <c r="P5" s="99"/>
      <c r="R5" s="149" t="s">
        <v>139</v>
      </c>
      <c r="S5" s="73"/>
      <c r="T5" s="73" t="s">
        <v>297</v>
      </c>
      <c r="U5" s="73"/>
      <c r="V5" s="73"/>
      <c r="W5" s="73"/>
      <c r="X5" s="73"/>
      <c r="Y5" s="73"/>
      <c r="Z5" s="73"/>
      <c r="AA5" s="73"/>
      <c r="AB5" s="73"/>
      <c r="AC5" s="73"/>
      <c r="AD5" s="73"/>
    </row>
    <row r="6" spans="2:30" ht="15" customHeight="1" x14ac:dyDescent="0.25">
      <c r="B6" s="100" t="s">
        <v>135</v>
      </c>
      <c r="C6" s="101"/>
      <c r="D6" s="238" t="str">
        <f>IF('WIND PRESSURE'!M31=0,"","AUXILIARY SIGN INCLUDED IN SIGN HEIGHT")</f>
        <v/>
      </c>
      <c r="E6" s="92"/>
      <c r="F6" s="97"/>
      <c r="G6" s="97"/>
      <c r="H6" s="97"/>
      <c r="I6" s="97"/>
      <c r="J6" s="102" t="s">
        <v>164</v>
      </c>
      <c r="K6" s="92"/>
      <c r="L6" s="92"/>
      <c r="M6" s="239"/>
      <c r="N6" s="246" t="s">
        <v>310</v>
      </c>
      <c r="O6" s="247" t="s">
        <v>312</v>
      </c>
      <c r="P6" s="119"/>
      <c r="R6" s="73"/>
      <c r="S6" s="73"/>
      <c r="T6" s="73" t="s">
        <v>304</v>
      </c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2:30" ht="15" customHeight="1" x14ac:dyDescent="0.25">
      <c r="B7" s="96" t="s">
        <v>120</v>
      </c>
      <c r="C7" s="103" t="s">
        <v>131</v>
      </c>
      <c r="D7" s="66">
        <f>'WIND PRESSURE'!M26</f>
        <v>4.24</v>
      </c>
      <c r="E7" s="97" t="s">
        <v>24</v>
      </c>
      <c r="F7" s="74" t="str">
        <f>IF(D7&lt;12.5,"SIGN WIDTH TOO SMALL FOR WF-BEAM","")</f>
        <v>SIGN WIDTH TOO SMALL FOR WF-BEAM</v>
      </c>
      <c r="G7" s="97"/>
      <c r="H7" s="97"/>
      <c r="I7" s="97"/>
      <c r="J7" s="104" t="s">
        <v>301</v>
      </c>
      <c r="K7" s="105"/>
      <c r="L7" s="103"/>
      <c r="M7" s="51">
        <v>30</v>
      </c>
      <c r="N7" s="97" t="s">
        <v>24</v>
      </c>
      <c r="O7" s="97"/>
      <c r="P7" s="99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</row>
    <row r="8" spans="2:30" ht="15" customHeight="1" x14ac:dyDescent="0.25">
      <c r="B8" s="96" t="s">
        <v>133</v>
      </c>
      <c r="C8" s="103" t="s">
        <v>132</v>
      </c>
      <c r="D8" s="66">
        <f>'WIND PRESSURE'!M27</f>
        <v>4.24</v>
      </c>
      <c r="E8" s="97" t="s">
        <v>24</v>
      </c>
      <c r="F8" s="74" t="str">
        <f>IF(D7*D8&lt;50,"SIGN AREA TOO SMALL FOR WF-BEAM","")</f>
        <v>SIGN AREA TOO SMALL FOR WF-BEAM</v>
      </c>
      <c r="G8" s="97"/>
      <c r="H8" s="97"/>
      <c r="I8" s="97"/>
      <c r="J8" s="97" t="s">
        <v>282</v>
      </c>
      <c r="K8" s="97"/>
      <c r="L8" s="105"/>
      <c r="M8" s="51">
        <v>8</v>
      </c>
      <c r="N8" s="97" t="s">
        <v>24</v>
      </c>
      <c r="O8" s="97" t="str">
        <f>IF(O6="FILL","","FORE SLOPE OFFSET")</f>
        <v/>
      </c>
      <c r="P8" s="99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</row>
    <row r="9" spans="2:30" ht="15" customHeight="1" x14ac:dyDescent="0.25">
      <c r="B9" s="96" t="s">
        <v>134</v>
      </c>
      <c r="C9" s="103" t="s">
        <v>124</v>
      </c>
      <c r="D9" s="51">
        <v>7</v>
      </c>
      <c r="E9" s="97" t="s">
        <v>24</v>
      </c>
      <c r="F9" s="74" t="str">
        <f>IF(D9&lt;5,"CLR. HGT. MIN. NOT MET (SEE NOTE BELOW)","SEE TDOT STD. DW.G T-S-9")</f>
        <v>SEE TDOT STD. DW.G T-S-9</v>
      </c>
      <c r="G9" s="97"/>
      <c r="H9" s="97"/>
      <c r="I9" s="97"/>
      <c r="J9" s="97" t="s">
        <v>283</v>
      </c>
      <c r="K9" s="97"/>
      <c r="L9" s="105"/>
      <c r="M9" s="51">
        <v>-0.04</v>
      </c>
      <c r="N9" s="97" t="s">
        <v>165</v>
      </c>
      <c r="O9" s="97" t="str">
        <f>IF(O6="FILL","","FROM BREAKPOINT =")</f>
        <v/>
      </c>
      <c r="P9" s="99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</row>
    <row r="10" spans="2:30" ht="15" customHeight="1" x14ac:dyDescent="0.25">
      <c r="B10" s="96"/>
      <c r="C10" s="105"/>
      <c r="D10" s="97"/>
      <c r="E10" s="97"/>
      <c r="F10" s="97"/>
      <c r="G10" s="97"/>
      <c r="H10" s="97"/>
      <c r="I10" s="105"/>
      <c r="J10" s="97" t="s">
        <v>281</v>
      </c>
      <c r="K10" s="97"/>
      <c r="L10" s="105"/>
      <c r="M10" s="51">
        <v>12</v>
      </c>
      <c r="N10" s="97" t="s">
        <v>24</v>
      </c>
      <c r="O10" s="51">
        <v>10</v>
      </c>
      <c r="P10" s="99" t="str">
        <f>IF(O6="FILL","","FT")</f>
        <v/>
      </c>
      <c r="R10" s="73"/>
      <c r="S10" s="73"/>
      <c r="T10" s="150"/>
      <c r="U10" s="73"/>
      <c r="V10" s="73"/>
      <c r="W10" s="73"/>
      <c r="X10" s="73"/>
      <c r="Y10" s="73"/>
      <c r="Z10" s="73"/>
      <c r="AA10" s="73"/>
      <c r="AB10" s="73"/>
      <c r="AC10" s="73"/>
      <c r="AD10" s="73"/>
    </row>
    <row r="11" spans="2:30" ht="15" customHeight="1" x14ac:dyDescent="0.25">
      <c r="B11" s="100" t="s">
        <v>147</v>
      </c>
      <c r="C11" s="101"/>
      <c r="D11" s="92"/>
      <c r="E11" s="92"/>
      <c r="F11" s="97"/>
      <c r="G11" s="105"/>
      <c r="H11" s="97"/>
      <c r="I11" s="105"/>
      <c r="J11" s="97" t="s">
        <v>284</v>
      </c>
      <c r="K11" s="97"/>
      <c r="L11" s="105"/>
      <c r="M11" s="51">
        <v>-6</v>
      </c>
      <c r="N11" s="97" t="s">
        <v>166</v>
      </c>
      <c r="O11" s="104"/>
      <c r="P11" s="119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</row>
    <row r="12" spans="2:30" ht="15" customHeight="1" x14ac:dyDescent="0.25">
      <c r="B12" s="109" t="s">
        <v>296</v>
      </c>
      <c r="C12" s="103" t="s">
        <v>40</v>
      </c>
      <c r="D12" s="110">
        <f>ROUNDUP('WIND PRESSURE'!D31,0)</f>
        <v>16</v>
      </c>
      <c r="E12" s="97" t="s">
        <v>55</v>
      </c>
      <c r="F12" s="97"/>
      <c r="G12" s="105"/>
      <c r="H12" s="97"/>
      <c r="I12" s="105"/>
      <c r="J12" s="97" t="s">
        <v>294</v>
      </c>
      <c r="K12" s="97"/>
      <c r="L12" s="105"/>
      <c r="M12" s="51">
        <v>-3</v>
      </c>
      <c r="N12" s="97" t="s">
        <v>166</v>
      </c>
      <c r="O12" s="51">
        <v>3</v>
      </c>
      <c r="P12" s="119" t="str">
        <f>IF(O6="FILL","","H:V")</f>
        <v/>
      </c>
      <c r="V12" s="73"/>
      <c r="W12" s="73"/>
      <c r="X12" s="73"/>
      <c r="Y12" s="73"/>
      <c r="Z12" s="73"/>
      <c r="AA12" s="73"/>
      <c r="AB12" s="73"/>
      <c r="AC12" s="73"/>
      <c r="AD12" s="73"/>
    </row>
    <row r="13" spans="2:30" ht="15" customHeight="1" x14ac:dyDescent="0.25">
      <c r="B13" s="96" t="s">
        <v>136</v>
      </c>
      <c r="C13" s="103" t="s">
        <v>138</v>
      </c>
      <c r="D13" s="111">
        <f>ROUNDUP(D12*D7*D8*(MAX(L17:N17)-M13-D8/2),0)</f>
        <v>-1329</v>
      </c>
      <c r="E13" s="97" t="s">
        <v>137</v>
      </c>
      <c r="F13" s="97"/>
      <c r="G13" s="97"/>
      <c r="H13" s="97"/>
      <c r="I13" s="105"/>
      <c r="J13" s="97" t="s">
        <v>292</v>
      </c>
      <c r="K13" s="97"/>
      <c r="L13" s="97"/>
      <c r="M13" s="51">
        <v>2.5</v>
      </c>
      <c r="N13" s="97" t="s">
        <v>24</v>
      </c>
      <c r="O13" s="241" t="s">
        <v>303</v>
      </c>
      <c r="P13" s="99"/>
      <c r="V13" s="73"/>
      <c r="W13" s="73"/>
      <c r="X13" s="73"/>
      <c r="Y13" s="73"/>
      <c r="Z13" s="73"/>
      <c r="AA13" s="73"/>
      <c r="AB13" s="73"/>
      <c r="AC13" s="73"/>
      <c r="AD13" s="73"/>
    </row>
    <row r="14" spans="2:30" ht="15" customHeight="1" x14ac:dyDescent="0.25">
      <c r="B14" s="96"/>
      <c r="C14" s="97"/>
      <c r="D14" s="97"/>
      <c r="E14" s="97"/>
      <c r="F14" s="97"/>
      <c r="G14" s="97"/>
      <c r="H14" s="97"/>
      <c r="I14" s="105"/>
      <c r="J14" s="108"/>
      <c r="K14" s="97"/>
      <c r="L14" s="97"/>
      <c r="M14" s="104"/>
      <c r="N14" s="97"/>
      <c r="O14" s="97"/>
      <c r="P14" s="99"/>
      <c r="V14" s="73"/>
      <c r="W14" s="73"/>
      <c r="X14" s="73"/>
      <c r="Y14" s="73"/>
      <c r="Z14" s="73"/>
      <c r="AA14" s="73"/>
      <c r="AB14" s="73"/>
      <c r="AC14" s="73"/>
      <c r="AD14" s="73"/>
    </row>
    <row r="15" spans="2:30" ht="15" customHeight="1" x14ac:dyDescent="0.25">
      <c r="B15" s="100" t="s">
        <v>141</v>
      </c>
      <c r="C15" s="92"/>
      <c r="D15" s="92"/>
      <c r="E15" s="92"/>
      <c r="F15" s="97"/>
      <c r="G15" s="97"/>
      <c r="H15" s="97"/>
      <c r="I15" s="97"/>
      <c r="J15" s="102" t="s">
        <v>190</v>
      </c>
      <c r="K15" s="92"/>
      <c r="L15" s="92"/>
      <c r="M15" s="92"/>
      <c r="N15" s="92"/>
      <c r="O15" s="97"/>
      <c r="P15" s="99"/>
      <c r="R15" s="149" t="s">
        <v>140</v>
      </c>
      <c r="S15" s="73"/>
      <c r="T15" s="72" t="s">
        <v>214</v>
      </c>
      <c r="V15" s="73"/>
      <c r="W15" s="73"/>
      <c r="X15" s="73"/>
      <c r="Y15" s="73"/>
      <c r="Z15" s="73"/>
      <c r="AA15" s="73"/>
      <c r="AB15" s="73"/>
      <c r="AC15" s="73"/>
      <c r="AD15" s="73"/>
    </row>
    <row r="16" spans="2:30" ht="15" customHeight="1" x14ac:dyDescent="0.25">
      <c r="B16" s="96" t="s">
        <v>143</v>
      </c>
      <c r="C16" s="112"/>
      <c r="D16" s="112" t="str">
        <f>IF(OR(D7&lt;12.5,D7*D8&lt;50),"",IF(D7&lt;22.5,2,3))</f>
        <v/>
      </c>
      <c r="E16" s="97"/>
      <c r="F16" s="105" t="str">
        <f>IF($D$16=2,"SEE TWO-POST SCHEMATIC FOR POST SPACING",IF($D$16=3,"SEE THREE-POST SCHEMATIC FOR POST SPACING",""))</f>
        <v/>
      </c>
      <c r="G16" s="97"/>
      <c r="H16" s="97"/>
      <c r="I16" s="97"/>
      <c r="J16" s="97"/>
      <c r="K16" s="97"/>
      <c r="L16" s="112" t="s">
        <v>168</v>
      </c>
      <c r="M16" s="112" t="s">
        <v>169</v>
      </c>
      <c r="N16" s="112" t="s">
        <v>170</v>
      </c>
      <c r="O16" s="97"/>
      <c r="P16" s="99"/>
      <c r="R16" s="73"/>
      <c r="S16" s="73"/>
      <c r="T16" s="72" t="s">
        <v>211</v>
      </c>
      <c r="V16" s="73"/>
      <c r="W16" s="73"/>
      <c r="X16" s="73"/>
      <c r="Y16" s="73"/>
      <c r="Z16" s="73"/>
      <c r="AA16" s="73"/>
      <c r="AB16" s="73"/>
      <c r="AC16" s="73"/>
      <c r="AD16" s="73"/>
    </row>
    <row r="17" spans="2:30" ht="15" customHeight="1" x14ac:dyDescent="0.25">
      <c r="B17" s="96" t="s">
        <v>142</v>
      </c>
      <c r="C17" s="97"/>
      <c r="D17" s="113" t="str">
        <f>IF(D16="","",IF(D13&lt;='SECTION PROPERTIES'!O62*D16,'SECTION PROPERTIES'!B62,IF(AND(D13&gt;'SECTION PROPERTIES'!O62*D16,D13&lt;='SECTION PROPERTIES'!O63*D16),'SECTION PROPERTIES'!B63,IF(AND(D13&gt;'SECTION PROPERTIES'!O63*D16,D13&lt;='SECTION PROPERTIES'!O64*D16),'SECTION PROPERTIES'!B64,IF(AND(D13&gt;'SECTION PROPERTIES'!O64*D16,D13&lt;='SECTION PROPERTIES'!O65*D16),'SECTION PROPERTIES'!B65,IF(AND(D13&gt;'SECTION PROPERTIES'!O65*D16,D13&lt;='SECTION PROPERTIES'!O66*D16),'SECTION PROPERTIES'!B66,IF(AND(D13&gt;'SECTION PROPERTIES'!O66*D16,D13&lt;='SECTION PROPERTIES'!O67*D16),'SECTION PROPERTIES'!B67,'SECTION PROPERTIES'!B68)))))))</f>
        <v/>
      </c>
      <c r="E17" s="97"/>
      <c r="F17" s="74" t="str">
        <f>IF(D16="","CHECK SIGN WIDTH &amp; SIGN AREA","")</f>
        <v>CHECK SIGN WIDTH &amp; SIGN AREA</v>
      </c>
      <c r="G17" s="97"/>
      <c r="H17" s="97"/>
      <c r="I17" s="97"/>
      <c r="J17" s="97" t="s">
        <v>172</v>
      </c>
      <c r="K17" s="97"/>
      <c r="L17" s="155" t="str">
        <f>IF(D16="","",IF(O6="FILL",CEILING(IF(D16=2,D9-M8*M9-M10*1/M11-1/M12*((M7-M8-M10)+(D7/5))+D8+M13,IF(D16=3,D9-M8*M9-M10*1/M11-1/M12*((M7-M8-M10)+(D7/6))+D8+M13)),0.25),IF(O6="CUT",CEILING(IF(D16=2,D9-M8*M9-M10*1/M11-O10*1/M12-1/O12*((M7-M8-M10-O10)+(D7/5))+D8+M13,IF(D16=3,D9-M8*M9-M10*1/M11-O10*1/M12-1/O12*((M7-M8-M10-O10)+(D7/6))+D8+M13)),0.25))))</f>
        <v/>
      </c>
      <c r="M17" s="115" t="str">
        <f>IF(D16="","",IF(O6="FILL",CEILING(IF(D16=2,D9-M8*M9-M10*1/M11-1/M12*((M7-M8-M10)+(4*D7/5))+D8+M13,IF(D16=3,D9-M8*M9-M10*1/M11-1/M12*((M7-M8-M10)+(D7/2))+D8+M13)),0.25),IF(O6="CUT",CEILING(IF(D16=2,D9-M8*M9-M10*1/M11-O10*1/M12-1/O12*((M7-M8-M10-O10)+(4*D7/5))+D8+M13,IF(D16=3,D9-M8*M9-M10*1/M11-O10*1/M12-1/O12*((M7-M8-M10-O10)+(D7/2))+D8+M13)),0.25))))</f>
        <v/>
      </c>
      <c r="N17" s="117" t="str">
        <f>IF(OR(D16="",D16=2),"",IF(O6="FILL",CEILING(IF(D16=3,D9-M8*M9-M10*1/M11-1/M12*((M7-M8-M10)+(5*D7/6))+D8+M13),0.25),IF(O6="CUT",CEILING(IF(D16=3,D9-M8*M9-M10*1/M11-O10*1/M12-1/O12*((M7-M8-M10-O10)+(5*D7/6))+D8+M13),0.25))))</f>
        <v/>
      </c>
      <c r="O17" s="97" t="s">
        <v>24</v>
      </c>
      <c r="P17" s="99"/>
      <c r="R17" s="73"/>
      <c r="S17" s="73"/>
      <c r="T17" s="72" t="s">
        <v>212</v>
      </c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5" customHeight="1" x14ac:dyDescent="0.25">
      <c r="B18" s="96" t="s">
        <v>121</v>
      </c>
      <c r="C18" s="97"/>
      <c r="D18" s="112" t="str">
        <f>IF(D16="","",INDEX('SECTION PROPERTIES'!$B$62:$O$68,MATCH(D17,'SECTION PROPERTIES'!$B$62:$B$68,0),2))</f>
        <v/>
      </c>
      <c r="E18" s="97"/>
      <c r="F18" s="97"/>
      <c r="G18" s="97"/>
      <c r="H18" s="97"/>
      <c r="I18" s="97"/>
      <c r="J18" s="97" t="s">
        <v>173</v>
      </c>
      <c r="K18" s="97"/>
      <c r="L18" s="117" t="str">
        <f>IF(L17="","",VLOOKUP($D$17,'SECTION PROPERTIES'!$B$62:$T$68,4)*(L17))</f>
        <v/>
      </c>
      <c r="M18" s="117" t="str">
        <f>IF(M17="","",VLOOKUP($D$17,'SECTION PROPERTIES'!$B$62:$T$68,4)*(M17))</f>
        <v/>
      </c>
      <c r="N18" s="117" t="str">
        <f>IF(N17="","",VLOOKUP($D$17,'SECTION PROPERTIES'!$B$62:$T$68,4)*(N17))</f>
        <v/>
      </c>
      <c r="O18" s="97" t="s">
        <v>167</v>
      </c>
      <c r="P18" s="99"/>
      <c r="R18" s="73"/>
      <c r="S18" s="73"/>
      <c r="T18" s="72" t="s">
        <v>213</v>
      </c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spans="2:30" ht="15" customHeight="1" x14ac:dyDescent="0.25">
      <c r="B19" s="96" t="s">
        <v>146</v>
      </c>
      <c r="C19" s="97"/>
      <c r="D19" s="113" t="str">
        <f>IF(D16="","",ROUNDDOWN(INDEX('SECTION PROPERTIES'!$B$62:$R$68,MATCH(D17,'SECTION PROPERTIES'!$B$62:$B$68,0),14),0)*D16)</f>
        <v/>
      </c>
      <c r="E19" s="97" t="s">
        <v>137</v>
      </c>
      <c r="F19" s="242" t="str">
        <f>IF(D16="","",IF(D19&gt;D13,"OK","NG"))</f>
        <v/>
      </c>
      <c r="G19" s="97"/>
      <c r="H19" s="97"/>
      <c r="I19" s="97"/>
      <c r="J19" s="139"/>
      <c r="K19" s="139"/>
      <c r="L19" s="139"/>
      <c r="M19" s="139"/>
      <c r="N19" s="139"/>
      <c r="O19" s="139"/>
      <c r="P19" s="237" t="s">
        <v>189</v>
      </c>
      <c r="R19" s="73"/>
      <c r="S19" s="73"/>
      <c r="T19" s="150"/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spans="2:30" ht="15" customHeight="1" x14ac:dyDescent="0.25">
      <c r="B20" s="96"/>
      <c r="C20" s="97"/>
      <c r="D20" s="97"/>
      <c r="E20" s="97"/>
      <c r="F20" s="97"/>
      <c r="G20" s="97"/>
      <c r="H20" s="97"/>
      <c r="I20" s="97"/>
      <c r="J20" s="97" t="s">
        <v>187</v>
      </c>
      <c r="K20" s="97"/>
      <c r="L20" s="97"/>
      <c r="M20" s="97"/>
      <c r="N20" s="117" t="str">
        <f>IF(D17="","",SUM(L18:N18))</f>
        <v/>
      </c>
      <c r="O20" s="97" t="s">
        <v>167</v>
      </c>
      <c r="P20" s="237" t="s">
        <v>216</v>
      </c>
      <c r="R20" s="73"/>
      <c r="S20" s="73"/>
      <c r="T20" s="72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2:30" ht="15" customHeight="1" x14ac:dyDescent="0.25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17"/>
      <c r="O21" s="97"/>
      <c r="P21" s="237"/>
      <c r="R21" s="149" t="s">
        <v>125</v>
      </c>
      <c r="S21" s="73"/>
      <c r="T21" s="72" t="s">
        <v>225</v>
      </c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2:30" ht="15" customHeight="1" x14ac:dyDescent="0.25">
      <c r="B22" s="96"/>
      <c r="C22" s="97"/>
      <c r="D22" s="97"/>
      <c r="E22" s="97"/>
      <c r="F22" s="97"/>
      <c r="G22" s="97"/>
      <c r="H22" s="97"/>
      <c r="I22" s="97"/>
      <c r="J22" s="104" t="s">
        <v>245</v>
      </c>
      <c r="K22" s="104"/>
      <c r="L22" s="104"/>
      <c r="M22" s="104"/>
      <c r="N22" s="114" t="str">
        <f>IF(D16="","",IF(D16=2,VLOOKUP(D17,'SECTION PROPERTIES'!$B$62:$V$68,20)*2,VLOOKUP(D17,'SECTION PROPERTIES'!$B$62:$V$68,20)*3))</f>
        <v/>
      </c>
      <c r="O22" s="104" t="s">
        <v>224</v>
      </c>
      <c r="P22" s="243" t="s">
        <v>221</v>
      </c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2:30" ht="15" customHeight="1" x14ac:dyDescent="0.25">
      <c r="B23" s="96"/>
      <c r="C23" s="97"/>
      <c r="D23" s="97"/>
      <c r="E23" s="97"/>
      <c r="F23" s="97"/>
      <c r="G23" s="97"/>
      <c r="H23" s="97"/>
      <c r="I23" s="97"/>
      <c r="J23" s="104" t="s">
        <v>246</v>
      </c>
      <c r="K23" s="104"/>
      <c r="L23" s="104"/>
      <c r="M23" s="104"/>
      <c r="N23" s="114" t="str">
        <f>IF(D16="","",IF(D16=2,VLOOKUP(D17,'SECTION PROPERTIES'!$B$62:$V$68,21)*2,VLOOKUP(D17,'SECTION PROPERTIES'!$B$62:$V$68,21)*3))</f>
        <v/>
      </c>
      <c r="O23" s="104" t="s">
        <v>167</v>
      </c>
      <c r="P23" s="243" t="s">
        <v>222</v>
      </c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2:30" ht="15" customHeight="1" x14ac:dyDescent="0.25">
      <c r="B24" s="96"/>
      <c r="C24" s="97"/>
      <c r="D24" s="97"/>
      <c r="E24" s="97"/>
      <c r="F24" s="97"/>
      <c r="G24" s="97"/>
      <c r="H24" s="97"/>
      <c r="I24" s="97"/>
      <c r="J24" s="74" t="str">
        <f>IF('WIND PRESSURE'!M31=0,"","POST LENGTH ADJUSTED FOR AUXILIARY SIGN ; AUX SUPPORT")</f>
        <v/>
      </c>
      <c r="K24" s="97"/>
      <c r="L24" s="97"/>
      <c r="M24" s="97"/>
      <c r="N24" s="97"/>
      <c r="O24" s="97"/>
      <c r="P24" s="237" t="str">
        <f>IF(J24="","","713-17.02")</f>
        <v/>
      </c>
      <c r="U24" s="73"/>
      <c r="V24" s="73"/>
      <c r="W24" s="73"/>
      <c r="X24" s="73"/>
      <c r="Y24" s="73"/>
      <c r="Z24" s="73"/>
      <c r="AA24" s="73"/>
      <c r="AB24" s="73"/>
      <c r="AC24" s="73"/>
      <c r="AD24" s="73"/>
    </row>
    <row r="25" spans="2:30" ht="15" customHeight="1" x14ac:dyDescent="0.25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9"/>
      <c r="U25" s="73"/>
      <c r="V25" s="73"/>
      <c r="W25" s="73"/>
      <c r="X25" s="73"/>
      <c r="Y25" s="73"/>
      <c r="Z25" s="73"/>
      <c r="AA25" s="73"/>
      <c r="AB25" s="73"/>
      <c r="AC25" s="73"/>
      <c r="AD25" s="73"/>
    </row>
    <row r="26" spans="2:30" ht="15" customHeight="1" x14ac:dyDescent="0.2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9"/>
      <c r="R26" s="73"/>
      <c r="S26" s="244"/>
      <c r="T26" s="150"/>
      <c r="U26" s="73"/>
      <c r="V26" s="73"/>
      <c r="W26" s="73"/>
      <c r="X26" s="73"/>
      <c r="Y26" s="73"/>
      <c r="Z26" s="73"/>
      <c r="AA26" s="73"/>
      <c r="AB26" s="73"/>
      <c r="AC26" s="73"/>
      <c r="AD26" s="73"/>
    </row>
    <row r="27" spans="2:30" ht="15" customHeight="1" x14ac:dyDescent="0.25">
      <c r="B27" s="96"/>
      <c r="C27" s="97"/>
      <c r="D27" s="121" t="s">
        <v>148</v>
      </c>
      <c r="E27" s="122"/>
      <c r="F27" s="122"/>
      <c r="G27" s="122"/>
      <c r="H27" s="122"/>
      <c r="I27" s="97"/>
      <c r="J27" s="121" t="s">
        <v>149</v>
      </c>
      <c r="K27" s="122"/>
      <c r="L27" s="122"/>
      <c r="M27" s="122"/>
      <c r="N27" s="122"/>
      <c r="O27" s="122"/>
      <c r="P27" s="99"/>
      <c r="R27" s="73"/>
      <c r="S27" s="244"/>
      <c r="T27" s="150"/>
      <c r="U27" s="73"/>
      <c r="V27" s="73"/>
      <c r="W27" s="73"/>
      <c r="X27" s="73"/>
      <c r="Y27" s="73"/>
      <c r="Z27" s="73"/>
      <c r="AA27" s="73"/>
      <c r="AB27" s="73"/>
      <c r="AC27" s="73"/>
      <c r="AD27" s="73"/>
    </row>
    <row r="28" spans="2:30" ht="15" customHeight="1" x14ac:dyDescent="0.25">
      <c r="B28" s="96"/>
      <c r="C28" s="97"/>
      <c r="D28" s="121"/>
      <c r="E28" s="122"/>
      <c r="F28" s="122"/>
      <c r="G28" s="122"/>
      <c r="H28" s="122"/>
      <c r="I28" s="97"/>
      <c r="J28" s="97"/>
      <c r="K28" s="97"/>
      <c r="L28" s="97"/>
      <c r="M28" s="97"/>
      <c r="N28" s="97"/>
      <c r="O28" s="97"/>
      <c r="P28" s="99"/>
      <c r="R28" s="73"/>
      <c r="S28" s="244"/>
      <c r="T28" s="150"/>
      <c r="U28" s="73"/>
      <c r="V28" s="73"/>
      <c r="W28" s="73"/>
      <c r="X28" s="73"/>
      <c r="Y28" s="73"/>
      <c r="Z28" s="73"/>
      <c r="AA28" s="73"/>
      <c r="AB28" s="73"/>
      <c r="AC28" s="73"/>
      <c r="AD28" s="73"/>
    </row>
    <row r="29" spans="2:30" ht="15" customHeight="1" x14ac:dyDescent="0.25">
      <c r="B29" s="96"/>
      <c r="C29" s="97"/>
      <c r="D29" s="97"/>
      <c r="E29" s="122" t="s">
        <v>120</v>
      </c>
      <c r="F29" s="122"/>
      <c r="G29" s="122"/>
      <c r="H29" s="97"/>
      <c r="I29" s="97"/>
      <c r="J29" s="97"/>
      <c r="K29" s="122" t="s">
        <v>120</v>
      </c>
      <c r="L29" s="122"/>
      <c r="M29" s="122"/>
      <c r="N29" s="122"/>
      <c r="O29" s="97"/>
      <c r="P29" s="99"/>
      <c r="R29" s="73"/>
      <c r="S29" s="150"/>
      <c r="T29" s="150"/>
      <c r="U29" s="73"/>
      <c r="V29" s="73"/>
      <c r="W29" s="73"/>
      <c r="X29" s="73"/>
      <c r="Y29" s="73"/>
      <c r="Z29" s="73"/>
      <c r="AA29" s="73"/>
      <c r="AB29" s="73"/>
      <c r="AC29" s="73"/>
      <c r="AD29" s="73"/>
    </row>
    <row r="30" spans="2:30" ht="15" customHeight="1" x14ac:dyDescent="0.25">
      <c r="B30" s="96"/>
      <c r="C30" s="97"/>
      <c r="D30" s="123"/>
      <c r="E30" s="124"/>
      <c r="F30" s="125"/>
      <c r="G30" s="126"/>
      <c r="H30" s="97"/>
      <c r="I30" s="97"/>
      <c r="J30" s="123"/>
      <c r="K30" s="124"/>
      <c r="L30" s="125"/>
      <c r="M30" s="125"/>
      <c r="N30" s="126"/>
      <c r="O30" s="97"/>
      <c r="P30" s="99"/>
      <c r="R30" s="73"/>
      <c r="S30" s="150"/>
      <c r="T30" s="150"/>
      <c r="U30" s="73"/>
      <c r="V30" s="73"/>
      <c r="W30" s="73"/>
      <c r="X30" s="73"/>
      <c r="Y30" s="73"/>
      <c r="Z30" s="73"/>
      <c r="AA30" s="73"/>
      <c r="AB30" s="73"/>
      <c r="AC30" s="73"/>
      <c r="AD30" s="73"/>
    </row>
    <row r="31" spans="2:30" ht="15" customHeight="1" x14ac:dyDescent="0.25">
      <c r="B31" s="96"/>
      <c r="C31" s="97"/>
      <c r="D31" s="127" t="s">
        <v>67</v>
      </c>
      <c r="E31" s="128" t="s">
        <v>67</v>
      </c>
      <c r="F31" s="122"/>
      <c r="G31" s="129"/>
      <c r="H31" s="97"/>
      <c r="I31" s="97"/>
      <c r="J31" s="127" t="s">
        <v>67</v>
      </c>
      <c r="K31" s="128" t="s">
        <v>67</v>
      </c>
      <c r="L31" s="122"/>
      <c r="M31" s="122"/>
      <c r="N31" s="129"/>
      <c r="O31" s="97"/>
      <c r="P31" s="99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</row>
    <row r="32" spans="2:30" ht="15" customHeight="1" x14ac:dyDescent="0.25">
      <c r="B32" s="96"/>
      <c r="C32" s="97"/>
      <c r="D32" s="127" t="s">
        <v>68</v>
      </c>
      <c r="E32" s="128" t="s">
        <v>122</v>
      </c>
      <c r="F32" s="122"/>
      <c r="G32" s="129"/>
      <c r="H32" s="97"/>
      <c r="I32" s="97"/>
      <c r="J32" s="127" t="s">
        <v>68</v>
      </c>
      <c r="K32" s="128" t="s">
        <v>122</v>
      </c>
      <c r="L32" s="122"/>
      <c r="M32" s="122"/>
      <c r="N32" s="129"/>
      <c r="O32" s="97"/>
      <c r="P32" s="99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</row>
    <row r="33" spans="2:16" ht="15" customHeight="1" x14ac:dyDescent="0.25">
      <c r="B33" s="96"/>
      <c r="C33" s="97"/>
      <c r="D33" s="123"/>
      <c r="E33" s="130"/>
      <c r="F33" s="92"/>
      <c r="G33" s="131"/>
      <c r="H33" s="97"/>
      <c r="I33" s="97"/>
      <c r="J33" s="123"/>
      <c r="K33" s="130"/>
      <c r="L33" s="92"/>
      <c r="M33" s="92"/>
      <c r="N33" s="131"/>
      <c r="O33" s="97"/>
      <c r="P33" s="99"/>
    </row>
    <row r="34" spans="2:16" ht="15" customHeight="1" x14ac:dyDescent="0.25">
      <c r="B34" s="96"/>
      <c r="C34" s="97"/>
      <c r="D34" s="97"/>
      <c r="E34" s="97"/>
      <c r="F34" s="132"/>
      <c r="G34" s="97"/>
      <c r="H34" s="97"/>
      <c r="I34" s="97"/>
      <c r="J34" s="97"/>
      <c r="K34" s="97"/>
      <c r="L34" s="124"/>
      <c r="M34" s="132"/>
      <c r="N34" s="97"/>
      <c r="O34" s="97"/>
      <c r="P34" s="99"/>
    </row>
    <row r="35" spans="2:16" ht="15" customHeight="1" x14ac:dyDescent="0.25">
      <c r="B35" s="96"/>
      <c r="C35" s="97"/>
      <c r="D35" s="97"/>
      <c r="E35" s="97"/>
      <c r="F35" s="133"/>
      <c r="G35" s="97"/>
      <c r="H35" s="97"/>
      <c r="I35" s="97"/>
      <c r="J35" s="97"/>
      <c r="K35" s="97"/>
      <c r="L35" s="134"/>
      <c r="M35" s="133"/>
      <c r="N35" s="97"/>
      <c r="O35" s="97"/>
      <c r="P35" s="99"/>
    </row>
    <row r="36" spans="2:16" ht="15" customHeight="1" x14ac:dyDescent="0.25">
      <c r="B36" s="96"/>
      <c r="C36" s="97"/>
      <c r="D36" s="97"/>
      <c r="E36" s="135" t="str">
        <f>IF($D$16=2,CONCATENATE(TRUNC($D$7*1/5)," ","FT"," ","-"," ",ROUND(($D$7*1/5-TRUNC($D$7*1/5))*12,0)," ","IN"),"")</f>
        <v/>
      </c>
      <c r="F36" s="136" t="str">
        <f>IF($D$16=2,CONCATENATE(TRUNC($D$7*3/5)," ","FT"," ","-"," ",ROUND(($D$7*3/5-TRUNC($D$7*3/5))*12,0)," ","IN"),"")</f>
        <v/>
      </c>
      <c r="G36" s="137" t="str">
        <f>IF($D$16=2,CONCATENATE(TRUNC($D$7*1/5)," ","FT"," ","-"," ",ROUND(($D$7*1/5-TRUNC($D$7*1/5))*12,0)," ","IN"),"")</f>
        <v/>
      </c>
      <c r="H36" s="97"/>
      <c r="I36" s="97"/>
      <c r="J36" s="97"/>
      <c r="K36" s="135" t="str">
        <f>IF($D$16=3,CONCATENATE(TRUNC($D$7*1/6)," ","FT"," ","-"," ",ROUND(($D$7*1/6-TRUNC($D$7*1/6))*12,0)," ","IN"),"")</f>
        <v/>
      </c>
      <c r="L36" s="138" t="str">
        <f>IF($D$16=3,CONCATENATE(TRUNC($D$7*1/3)," ","FT"," ","-"," ",ROUND(($D$7*1/3-TRUNC($D$7*1/3))*12,0)," ","IN"),"")</f>
        <v/>
      </c>
      <c r="M36" s="136" t="str">
        <f>IF($D$16=3,CONCATENATE(TRUNC($D$7*1/3)," ","FT"," ","-"," ",ROUND(($D$7*1/3-TRUNC($D$7*1/3))*12,0)," ","IN"),"")</f>
        <v/>
      </c>
      <c r="N36" s="137" t="str">
        <f>IF($D$16=3,CONCATENATE(TRUNC($D$7*1/6)," ","FT"," ","-"," ",ROUND(($D$7*1/6-TRUNC($D$7*1/6))*12,0)," ","IN"),"")</f>
        <v/>
      </c>
      <c r="O36" s="97"/>
      <c r="P36" s="99"/>
    </row>
    <row r="37" spans="2:16" ht="15" customHeight="1" x14ac:dyDescent="0.25">
      <c r="B37" s="96"/>
      <c r="C37" s="97"/>
      <c r="D37" s="139"/>
      <c r="E37" s="97"/>
      <c r="F37" s="140"/>
      <c r="G37" s="139"/>
      <c r="H37" s="97"/>
      <c r="I37" s="97"/>
      <c r="J37" s="139"/>
      <c r="K37" s="97"/>
      <c r="L37" s="141"/>
      <c r="M37" s="140"/>
      <c r="N37" s="139"/>
      <c r="O37" s="97"/>
      <c r="P37" s="99"/>
    </row>
    <row r="38" spans="2:16" ht="15" customHeight="1" x14ac:dyDescent="0.25">
      <c r="B38" s="96"/>
      <c r="C38" s="97"/>
      <c r="D38" s="92"/>
      <c r="E38" s="92"/>
      <c r="F38" s="142"/>
      <c r="G38" s="92"/>
      <c r="H38" s="92"/>
      <c r="I38" s="97"/>
      <c r="J38" s="92"/>
      <c r="K38" s="92"/>
      <c r="L38" s="130"/>
      <c r="M38" s="142"/>
      <c r="N38" s="92"/>
      <c r="O38" s="92"/>
      <c r="P38" s="99"/>
    </row>
    <row r="39" spans="2:16" ht="15" customHeight="1" x14ac:dyDescent="0.25">
      <c r="B39" s="96"/>
      <c r="C39" s="97"/>
      <c r="D39" s="122" t="s">
        <v>123</v>
      </c>
      <c r="E39" s="122"/>
      <c r="F39" s="122"/>
      <c r="G39" s="122"/>
      <c r="H39" s="122"/>
      <c r="I39" s="97"/>
      <c r="J39" s="122" t="s">
        <v>123</v>
      </c>
      <c r="K39" s="122"/>
      <c r="L39" s="122"/>
      <c r="M39" s="122"/>
      <c r="N39" s="122"/>
      <c r="O39" s="122"/>
      <c r="P39" s="99"/>
    </row>
    <row r="40" spans="2:16" ht="15" customHeight="1" x14ac:dyDescent="0.2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9"/>
    </row>
    <row r="41" spans="2:16" ht="15" customHeight="1" x14ac:dyDescent="0.25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9"/>
    </row>
    <row r="42" spans="2:16" ht="15" customHeight="1" thickBot="1" x14ac:dyDescent="0.3">
      <c r="B42" s="143" t="s">
        <v>128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sheetProtection sheet="1" objects="1" scenarios="1"/>
  <conditionalFormatting sqref="D17">
    <cfRule type="cellIs" dxfId="22" priority="29" operator="equal">
      <formula>"W1"</formula>
    </cfRule>
    <cfRule type="cellIs" dxfId="21" priority="30" operator="equal">
      <formula>"W2"</formula>
    </cfRule>
    <cfRule type="cellIs" dxfId="20" priority="31" operator="equal">
      <formula>"W3"</formula>
    </cfRule>
    <cfRule type="cellIs" dxfId="19" priority="32" operator="equal">
      <formula>"W4"</formula>
    </cfRule>
    <cfRule type="cellIs" dxfId="18" priority="38" operator="equal">
      <formula>"W5"</formula>
    </cfRule>
    <cfRule type="cellIs" dxfId="17" priority="39" operator="equal">
      <formula>"W6"</formula>
    </cfRule>
    <cfRule type="cellIs" dxfId="16" priority="40" operator="equal">
      <formula>"W7"</formula>
    </cfRule>
  </conditionalFormatting>
  <conditionalFormatting sqref="D18">
    <cfRule type="expression" dxfId="15" priority="25">
      <formula>$D$17="W1"</formula>
    </cfRule>
    <cfRule type="expression" dxfId="14" priority="26">
      <formula>$D$17="W2"</formula>
    </cfRule>
    <cfRule type="expression" dxfId="13" priority="27">
      <formula>$D$17="W3"</formula>
    </cfRule>
    <cfRule type="expression" dxfId="12" priority="28">
      <formula>$D$17="W4"</formula>
    </cfRule>
    <cfRule type="expression" dxfId="11" priority="33">
      <formula>$D$17="W5"</formula>
    </cfRule>
    <cfRule type="expression" dxfId="10" priority="34">
      <formula>$D$17="W6"</formula>
    </cfRule>
    <cfRule type="expression" dxfId="9" priority="35">
      <formula>$D$17="W7"</formula>
    </cfRule>
  </conditionalFormatting>
  <conditionalFormatting sqref="D19">
    <cfRule type="expression" dxfId="8" priority="7">
      <formula>$D$17="W1"</formula>
    </cfRule>
    <cfRule type="expression" dxfId="7" priority="8">
      <formula>$D$17="W2"</formula>
    </cfRule>
    <cfRule type="expression" dxfId="6" priority="9">
      <formula>$D$17="W3"</formula>
    </cfRule>
    <cfRule type="expression" dxfId="5" priority="10">
      <formula>$D$17="W4"</formula>
    </cfRule>
    <cfRule type="expression" dxfId="4" priority="11">
      <formula>$D$17="W5"</formula>
    </cfRule>
    <cfRule type="expression" dxfId="3" priority="12">
      <formula>$D$17="W6"</formula>
    </cfRule>
    <cfRule type="expression" dxfId="2" priority="13">
      <formula>$D$17="W7"</formula>
    </cfRule>
  </conditionalFormatting>
  <conditionalFormatting sqref="O10">
    <cfRule type="expression" dxfId="1" priority="2">
      <formula>$O$6="FILL"</formula>
    </cfRule>
  </conditionalFormatting>
  <conditionalFormatting sqref="O12">
    <cfRule type="expression" dxfId="0" priority="1">
      <formula>$O$6="FILL"</formula>
    </cfRule>
  </conditionalFormatting>
  <dataValidations count="1">
    <dataValidation type="list" allowBlank="1" showInputMessage="1" showErrorMessage="1" sqref="O6">
      <formula1>"CUT,FILL"</formula1>
    </dataValidation>
  </dataValidations>
  <pageMargins left="0.7" right="0.7" top="0.75" bottom="0.75" header="0.3" footer="0.3"/>
  <pageSetup orientation="portrait" r:id="rId1"/>
  <ignoredErrors>
    <ignoredError sqref="F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FLOWCHART</vt:lpstr>
      <vt:lpstr>WIND PRESSURE</vt:lpstr>
      <vt:lpstr>SECTION PROPERTIES</vt:lpstr>
      <vt:lpstr>U-POST SELECTOR</vt:lpstr>
      <vt:lpstr>P-POST SELECTOR</vt:lpstr>
      <vt:lpstr>I-BEAM SELECTOR</vt:lpstr>
      <vt:lpstr>WF-BEAM SELECTOR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Houston Neal</dc:creator>
  <cp:lastModifiedBy>Houston Neal</cp:lastModifiedBy>
  <dcterms:created xsi:type="dcterms:W3CDTF">2018-09-07T11:31:39Z</dcterms:created>
  <dcterms:modified xsi:type="dcterms:W3CDTF">2023-05-18T15:46:20Z</dcterms:modified>
</cp:coreProperties>
</file>