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II20006\Desktop\"/>
    </mc:Choice>
  </mc:AlternateContent>
  <bookViews>
    <workbookView xWindow="60" yWindow="-15" windowWidth="15600" windowHeight="8580" tabRatio="849"/>
  </bookViews>
  <sheets>
    <sheet name="Summary" sheetId="19" r:id="rId1"/>
    <sheet name="Metrics" sheetId="20" r:id="rId2"/>
    <sheet name="Sheet1" sheetId="17" state="hidden" r:id="rId3"/>
    <sheet name="HPBr Checklist" sheetId="1" r:id="rId4"/>
    <sheet name="Credit Lookup" sheetId="18" state="hidden" r:id="rId5"/>
    <sheet name="Credit Verification" sheetId="10" r:id="rId6"/>
    <sheet name="One-Time Completion Form" sheetId="16" r:id="rId7"/>
    <sheet name="MR-Calculator" sheetId="13" r:id="rId8"/>
    <sheet name="DL - Instructions" sheetId="8" r:id="rId9"/>
    <sheet name="DL - Calculator" sheetId="9" r:id="rId10"/>
    <sheet name="References" sheetId="22" r:id="rId11"/>
    <sheet name="Facility Types" sheetId="21" r:id="rId12"/>
  </sheets>
  <definedNames>
    <definedName name="_xlnm._FilterDatabase" localSheetId="5" hidden="1">'Credit Verification'!$A$20:$E$107</definedName>
    <definedName name="_xlnm._FilterDatabase" localSheetId="3" hidden="1">'HPBr Checklist'!$W$17:$W$18</definedName>
    <definedName name="_xlnm._FilterDatabase" localSheetId="10" hidden="1">References!$A$1:$Q$51</definedName>
    <definedName name="Addition___Minor_Renovation___Capital_Maintenance">'HPBr Checklist'!$D$6</definedName>
    <definedName name="Allowed">'HPBr Checklist'!$AB$32:$AC$32</definedName>
    <definedName name="BuildingArea">Metrics!$D$6</definedName>
    <definedName name="BuildingUseType">Metrics!$D$7</definedName>
    <definedName name="Capital_Maintenance">Sheet1!$C$7:$C$8</definedName>
    <definedName name="CHWType">#REF!</definedName>
    <definedName name="Climate_Zone">#REF!</definedName>
    <definedName name="CreditID_Description">'Credit Lookup'!$C$2:$C$78</definedName>
    <definedName name="Education" localSheetId="11">'Facility Types'!$A$4</definedName>
    <definedName name="eFuelTypes">References!$M$18:$M$32</definedName>
    <definedName name="eGridRegion">#REF!</definedName>
    <definedName name="Energy_Code">#REF!</definedName>
    <definedName name="EnergyCode">References!$R$10:$R$19</definedName>
    <definedName name="FoodSales" localSheetId="11">'Facility Types'!$A$12</definedName>
    <definedName name="FoodService" localSheetId="11">'Facility Types'!$A$16</definedName>
    <definedName name="Fuel_Types">#REF!</definedName>
    <definedName name="HealthIn" localSheetId="11">'Facility Types'!$A$19</definedName>
    <definedName name="HealthOut" localSheetId="11">'Facility Types'!$A$22</definedName>
    <definedName name="Lodging" localSheetId="11">'Facility Types'!$A$27</definedName>
    <definedName name="Malls" localSheetId="11">'Facility Types'!$A$42</definedName>
    <definedName name="Modeling">References!#REF!</definedName>
    <definedName name="ModelingTool">References!$P$2:$P$18</definedName>
    <definedName name="New_Construction">Sheet1!$A$7</definedName>
    <definedName name="NotAllowed">'HPBr Checklist'!$AA$32</definedName>
    <definedName name="Office" localSheetId="11">'Facility Types'!$A$45</definedName>
    <definedName name="Other" localSheetId="11">'Facility Types'!$A$92</definedName>
    <definedName name="Principal_Heating_Source">#REF!</definedName>
    <definedName name="_xlnm.Print_Area" localSheetId="5">'Credit Verification'!$A$1:$E$110</definedName>
    <definedName name="_xlnm.Print_Area" localSheetId="3">'HPBr Checklist'!$A$1:$W$106</definedName>
    <definedName name="_xlnm.Print_Area" localSheetId="1">Metrics!$A$3:$E$65</definedName>
    <definedName name="_xlnm.Print_Area" localSheetId="6">'One-Time Completion Form'!$A$1:$H$37</definedName>
    <definedName name="_xlnm.Print_Titles" localSheetId="5">'Credit Verification'!$1:$6</definedName>
    <definedName name="_xlnm.Print_Titles" localSheetId="9">'DL - Calculator'!$19:$20</definedName>
    <definedName name="_xlnm.Print_Titles" localSheetId="3">'HPBr Checklist'!$1:$14</definedName>
    <definedName name="_xlnm.Print_Titles" localSheetId="6">'One-Time Completion Form'!$1:$2</definedName>
    <definedName name="Project_Roles">'HPBr Checklist'!$S$2:$S$10</definedName>
    <definedName name="ProjectUseType">References!$A$2:$A$48</definedName>
    <definedName name="PublicAssembly" localSheetId="11">'Facility Types'!$A$58</definedName>
    <definedName name="PublicOrder" localSheetId="11">'Facility Types'!$A$69</definedName>
    <definedName name="Renovation">Sheet1!$B$7:$B$8</definedName>
    <definedName name="RetailOther" localSheetId="11">'Facility Types'!$A$36</definedName>
    <definedName name="Scope">References!$L$2:$L$4</definedName>
    <definedName name="Service" localSheetId="11">'Facility Types'!$A$75</definedName>
    <definedName name="Simulation_Program">#REF!</definedName>
    <definedName name="USGBC_Building_Type">References!$M$2:$M$14</definedName>
    <definedName name="Vacant" localSheetId="11">'Facility Types'!$A$100</definedName>
    <definedName name="Warehouse" localSheetId="11">'Facility Types'!$A$88</definedName>
    <definedName name="Worship" localSheetId="11">'Facility Types'!$A$74</definedName>
    <definedName name="Yes1">'HPBr Checklist'!$AA$17</definedName>
    <definedName name="Yes2">'HPBr Checklist'!$AA$18:$AB$18</definedName>
    <definedName name="Yes2Only">'HPBr Checklist'!$AA$22</definedName>
    <definedName name="Yes3">'HPBr Checklist'!$AA$68:$AC$68</definedName>
    <definedName name="Yes3Only">'HPBr Checklist'!$AA$19</definedName>
    <definedName name="Yes5">'HPBr Checklist'!$AA$21:$AE$21</definedName>
    <definedName name="Yes8">'HPBr Checklist'!$AA$20:$AH$20</definedName>
    <definedName name="YesNo">References!#REF!</definedName>
    <definedName name="YesNoWater">References!$S$2:$S$4</definedName>
    <definedName name="Zero1">'HPBr Checklist'!$Y$17</definedName>
    <definedName name="Zero2">'HPBr Checklist'!$Y$18</definedName>
    <definedName name="Zero3">'HPBr Checklist'!$Y$19</definedName>
    <definedName name="Zero5">'HPBr Checklist'!$Y$21</definedName>
    <definedName name="Zero8">'HPBr Checklist'!$Y$20</definedName>
  </definedNames>
  <calcPr calcId="152511"/>
</workbook>
</file>

<file path=xl/calcChain.xml><?xml version="1.0" encoding="utf-8"?>
<calcChain xmlns="http://schemas.openxmlformats.org/spreadsheetml/2006/main">
  <c r="C53" i="20" l="1"/>
  <c r="C54" i="20"/>
  <c r="C55" i="20"/>
  <c r="C52" i="20"/>
  <c r="D17" i="20" l="1"/>
  <c r="W103" i="1" l="1"/>
  <c r="W102" i="1"/>
  <c r="W101" i="1"/>
  <c r="W100" i="1"/>
  <c r="W99" i="1"/>
  <c r="W79" i="1"/>
  <c r="W80" i="1"/>
  <c r="W81" i="1"/>
  <c r="W82" i="1"/>
  <c r="W83" i="1"/>
  <c r="W84" i="1"/>
  <c r="W85" i="1"/>
  <c r="W86" i="1"/>
  <c r="W87" i="1"/>
  <c r="W88" i="1"/>
  <c r="W89" i="1"/>
  <c r="W90" i="1"/>
  <c r="W91" i="1"/>
  <c r="W92" i="1"/>
  <c r="W93" i="1"/>
  <c r="W94" i="1"/>
  <c r="W95" i="1"/>
  <c r="W96" i="1"/>
  <c r="W78" i="1"/>
  <c r="W68" i="1"/>
  <c r="W69" i="1"/>
  <c r="W70" i="1"/>
  <c r="W71" i="1"/>
  <c r="W72" i="1"/>
  <c r="W73" i="1"/>
  <c r="W74" i="1"/>
  <c r="W75" i="1"/>
  <c r="W67" i="1"/>
  <c r="W64" i="1"/>
  <c r="W63" i="1"/>
  <c r="W62" i="1"/>
  <c r="W61" i="1"/>
  <c r="W60" i="1"/>
  <c r="W59" i="1"/>
  <c r="W58" i="1"/>
  <c r="W57" i="1"/>
  <c r="W56" i="1"/>
  <c r="W55" i="1"/>
  <c r="W54" i="1"/>
  <c r="W53" i="1"/>
  <c r="W52" i="1"/>
  <c r="W51" i="1"/>
  <c r="W50" i="1"/>
  <c r="W49" i="1"/>
  <c r="W48" i="1"/>
  <c r="W45" i="1"/>
  <c r="W44" i="1"/>
  <c r="W43" i="1"/>
  <c r="W42" i="1"/>
  <c r="W41" i="1"/>
  <c r="W40" i="1"/>
  <c r="W18" i="1"/>
  <c r="W19" i="1"/>
  <c r="W20" i="1"/>
  <c r="W21" i="1"/>
  <c r="W22" i="1"/>
  <c r="W23" i="1"/>
  <c r="W24" i="1"/>
  <c r="W25" i="1"/>
  <c r="W26" i="1"/>
  <c r="W27" i="1"/>
  <c r="W28" i="1"/>
  <c r="W29" i="1"/>
  <c r="W30" i="1"/>
  <c r="W31" i="1"/>
  <c r="W32" i="1"/>
  <c r="W33" i="1"/>
  <c r="W34" i="1"/>
  <c r="W35" i="1"/>
  <c r="W36" i="1"/>
  <c r="W37" i="1"/>
  <c r="W17" i="1"/>
  <c r="Z35" i="22" l="1"/>
  <c r="D36" i="20" l="1"/>
  <c r="P46" i="22"/>
  <c r="P43" i="22"/>
  <c r="E27" i="22"/>
  <c r="F27" i="22"/>
  <c r="E28" i="22"/>
  <c r="F28" i="22"/>
  <c r="E29" i="22"/>
  <c r="F29" i="22"/>
  <c r="E30" i="22"/>
  <c r="F30" i="22"/>
  <c r="E31" i="22"/>
  <c r="F31" i="22"/>
  <c r="E32" i="22"/>
  <c r="F32" i="22"/>
  <c r="E33" i="22"/>
  <c r="F33" i="22"/>
  <c r="E34" i="22"/>
  <c r="F34" i="22"/>
  <c r="E35" i="22"/>
  <c r="F35" i="22"/>
  <c r="E36" i="22"/>
  <c r="F36" i="22"/>
  <c r="E37" i="22"/>
  <c r="F37" i="22"/>
  <c r="E38" i="22"/>
  <c r="F38" i="22"/>
  <c r="E39" i="22"/>
  <c r="F39" i="22"/>
  <c r="E40" i="22"/>
  <c r="F40" i="22"/>
  <c r="E41" i="22"/>
  <c r="F41" i="22"/>
  <c r="E42" i="22"/>
  <c r="F42" i="22"/>
  <c r="E43" i="22"/>
  <c r="F43" i="22"/>
  <c r="E44" i="22"/>
  <c r="F44" i="22"/>
  <c r="E45" i="22"/>
  <c r="F45" i="22"/>
  <c r="E46" i="22"/>
  <c r="F46" i="22"/>
  <c r="E47" i="22"/>
  <c r="F47" i="22"/>
  <c r="E48" i="22"/>
  <c r="F48" i="22"/>
  <c r="E5" i="22"/>
  <c r="F5" i="22"/>
  <c r="E6" i="22"/>
  <c r="F6" i="22"/>
  <c r="E7" i="22"/>
  <c r="F7" i="22"/>
  <c r="E8" i="22"/>
  <c r="F8" i="22"/>
  <c r="E9" i="22"/>
  <c r="F9" i="22"/>
  <c r="E10" i="22"/>
  <c r="F10" i="22"/>
  <c r="E11" i="22"/>
  <c r="F11" i="22"/>
  <c r="E12" i="22"/>
  <c r="F12" i="22"/>
  <c r="E13" i="22"/>
  <c r="F13" i="22"/>
  <c r="E14" i="22"/>
  <c r="AA35" i="22" s="1"/>
  <c r="F14" i="22"/>
  <c r="AB35" i="22" s="1"/>
  <c r="E15" i="22"/>
  <c r="F15" i="22"/>
  <c r="E16" i="22"/>
  <c r="F16" i="22"/>
  <c r="E17" i="22"/>
  <c r="F17" i="22"/>
  <c r="E18" i="22"/>
  <c r="F18" i="22"/>
  <c r="E19" i="22"/>
  <c r="F19" i="22"/>
  <c r="E20" i="22"/>
  <c r="F20" i="22"/>
  <c r="E21" i="22"/>
  <c r="F21" i="22"/>
  <c r="E22" i="22"/>
  <c r="F22" i="22"/>
  <c r="E23" i="22"/>
  <c r="F23" i="22"/>
  <c r="E24" i="22"/>
  <c r="F24" i="22"/>
  <c r="E25" i="22"/>
  <c r="F25" i="22"/>
  <c r="E26" i="22"/>
  <c r="F26" i="22"/>
  <c r="E3" i="22"/>
  <c r="F3" i="22"/>
  <c r="E4" i="22"/>
  <c r="F4" i="22"/>
  <c r="F2" i="22"/>
  <c r="E2" i="22"/>
  <c r="O47" i="22" l="1"/>
  <c r="AB47" i="22" s="1"/>
  <c r="O44" i="22"/>
  <c r="AB44" i="22" s="1"/>
  <c r="O40" i="22"/>
  <c r="AA40" i="22" s="1"/>
  <c r="O38" i="22"/>
  <c r="AB38" i="22" s="1"/>
  <c r="O41" i="22"/>
  <c r="AB41" i="22" s="1"/>
  <c r="O43" i="22"/>
  <c r="AB43" i="22" s="1"/>
  <c r="O39" i="22"/>
  <c r="AA39" i="22" s="1"/>
  <c r="V43" i="22"/>
  <c r="W43" i="22"/>
  <c r="AA43" i="22"/>
  <c r="AB39" i="22"/>
  <c r="V41" i="22"/>
  <c r="V45" i="22"/>
  <c r="V42" i="22"/>
  <c r="V44" i="22"/>
  <c r="V38" i="22"/>
  <c r="V39" i="22"/>
  <c r="V47" i="22"/>
  <c r="V40" i="22"/>
  <c r="AA45" i="22"/>
  <c r="V46" i="22"/>
  <c r="W46" i="22"/>
  <c r="AB46" i="22"/>
  <c r="AA46" i="22"/>
  <c r="AA47" i="22"/>
  <c r="W40" i="22"/>
  <c r="W44" i="22"/>
  <c r="W41" i="22"/>
  <c r="W45" i="22"/>
  <c r="W47" i="22"/>
  <c r="W42" i="22"/>
  <c r="W39" i="22"/>
  <c r="W38" i="22"/>
  <c r="AB45" i="22"/>
  <c r="AB40" i="22"/>
  <c r="AD35" i="22"/>
  <c r="AE35" i="22"/>
  <c r="AC35" i="22"/>
  <c r="X43" i="22" s="1"/>
  <c r="E23" i="20"/>
  <c r="E11" i="20"/>
  <c r="D18" i="20"/>
  <c r="AA38" i="22" l="1"/>
  <c r="AA44" i="22"/>
  <c r="AD43" i="22"/>
  <c r="AC46" i="22"/>
  <c r="AA41" i="22"/>
  <c r="AC47" i="22"/>
  <c r="AC43" i="22"/>
  <c r="Z41" i="22"/>
  <c r="Z45" i="22"/>
  <c r="Z42" i="22"/>
  <c r="Z40" i="22"/>
  <c r="Z39" i="22"/>
  <c r="Z47" i="22"/>
  <c r="Z38" i="22"/>
  <c r="Z44" i="22"/>
  <c r="AE39" i="22"/>
  <c r="AE45" i="22"/>
  <c r="AE40" i="22"/>
  <c r="AE38" i="22"/>
  <c r="AE41" i="22"/>
  <c r="AE44" i="22"/>
  <c r="X46" i="22"/>
  <c r="AE43" i="22"/>
  <c r="Y42" i="22"/>
  <c r="Y39" i="22"/>
  <c r="Y47" i="22"/>
  <c r="Y38" i="22"/>
  <c r="Y40" i="22"/>
  <c r="Y44" i="22"/>
  <c r="Y41" i="22"/>
  <c r="Y45" i="22"/>
  <c r="AD45" i="22"/>
  <c r="AD41" i="22"/>
  <c r="AD38" i="22"/>
  <c r="AD40" i="22"/>
  <c r="AD44" i="22"/>
  <c r="AD39" i="22"/>
  <c r="AE47" i="22"/>
  <c r="AD46" i="22"/>
  <c r="Z46" i="22"/>
  <c r="Y43" i="22"/>
  <c r="AE46" i="22"/>
  <c r="X39" i="22"/>
  <c r="X47" i="22"/>
  <c r="X38" i="22"/>
  <c r="X40" i="22"/>
  <c r="X44" i="22"/>
  <c r="X42" i="22"/>
  <c r="X41" i="22"/>
  <c r="X45" i="22"/>
  <c r="AC45" i="22"/>
  <c r="AC41" i="22"/>
  <c r="AC44" i="22"/>
  <c r="AC39" i="22"/>
  <c r="AC40" i="22"/>
  <c r="AC38" i="22"/>
  <c r="AD47" i="22"/>
  <c r="Y46" i="22"/>
  <c r="Z43" i="22"/>
  <c r="B15" i="10"/>
  <c r="B16" i="10"/>
  <c r="AG40" i="22" l="1"/>
  <c r="AF45" i="22"/>
  <c r="AF40" i="22"/>
  <c r="AF42" i="22"/>
  <c r="AG38" i="22"/>
  <c r="AF47" i="22"/>
  <c r="AG46" i="22"/>
  <c r="AF43" i="22"/>
  <c r="AG45" i="22"/>
  <c r="AF44" i="22"/>
  <c r="AF38" i="22"/>
  <c r="AG43" i="22"/>
  <c r="AG47" i="22"/>
  <c r="AF46" i="22"/>
  <c r="AG44" i="22"/>
  <c r="AF41" i="22"/>
  <c r="AG39" i="22"/>
  <c r="AF39" i="22"/>
  <c r="AG41" i="22"/>
  <c r="A104" i="10"/>
  <c r="A105" i="10"/>
  <c r="A106" i="10"/>
  <c r="A107" i="10"/>
  <c r="A103" i="10"/>
  <c r="A83" i="10"/>
  <c r="A84" i="10"/>
  <c r="A85" i="10"/>
  <c r="A86" i="10"/>
  <c r="A87" i="10"/>
  <c r="A88" i="10"/>
  <c r="A89" i="10"/>
  <c r="A90" i="10"/>
  <c r="A91" i="10"/>
  <c r="A92" i="10"/>
  <c r="A93" i="10"/>
  <c r="A94" i="10"/>
  <c r="A95" i="10"/>
  <c r="A96" i="10"/>
  <c r="A97" i="10"/>
  <c r="A98" i="10"/>
  <c r="A99" i="10"/>
  <c r="A100" i="10"/>
  <c r="A82" i="10"/>
  <c r="A72" i="10"/>
  <c r="A73" i="10"/>
  <c r="A74" i="10"/>
  <c r="A75" i="10"/>
  <c r="A76" i="10"/>
  <c r="A77" i="10"/>
  <c r="A78" i="10"/>
  <c r="A79" i="10"/>
  <c r="A71" i="10"/>
  <c r="A53" i="10"/>
  <c r="A54" i="10"/>
  <c r="A55" i="10"/>
  <c r="A56" i="10"/>
  <c r="A57" i="10"/>
  <c r="A58" i="10"/>
  <c r="A59" i="10"/>
  <c r="A60" i="10"/>
  <c r="A61" i="10"/>
  <c r="A62" i="10"/>
  <c r="A63" i="10"/>
  <c r="A64" i="10"/>
  <c r="A65" i="10"/>
  <c r="A66" i="10"/>
  <c r="A67" i="10"/>
  <c r="A68" i="10"/>
  <c r="A52" i="10"/>
  <c r="A45" i="10"/>
  <c r="A46" i="10"/>
  <c r="A47" i="10"/>
  <c r="A48" i="10"/>
  <c r="A49" i="10"/>
  <c r="A44" i="10"/>
  <c r="A22" i="10"/>
  <c r="A23" i="10"/>
  <c r="A24" i="10"/>
  <c r="A25" i="10"/>
  <c r="A26" i="10"/>
  <c r="A27" i="10"/>
  <c r="A28" i="10"/>
  <c r="A29" i="10"/>
  <c r="A30" i="10"/>
  <c r="A31" i="10"/>
  <c r="A32" i="10"/>
  <c r="A33" i="10"/>
  <c r="A34" i="10"/>
  <c r="A35" i="10"/>
  <c r="A36" i="10"/>
  <c r="A37" i="10"/>
  <c r="A38" i="10"/>
  <c r="A39" i="10"/>
  <c r="A40" i="10"/>
  <c r="A41" i="10"/>
  <c r="A21" i="10"/>
  <c r="AF48" i="22" l="1"/>
  <c r="D75" i="18"/>
  <c r="D76" i="18"/>
  <c r="D77" i="18"/>
  <c r="D78" i="18"/>
  <c r="D74" i="18"/>
  <c r="D56" i="18"/>
  <c r="D57" i="18"/>
  <c r="D58" i="18"/>
  <c r="D59" i="18"/>
  <c r="D60" i="18"/>
  <c r="D61" i="18"/>
  <c r="D62" i="18"/>
  <c r="D63" i="18"/>
  <c r="D64" i="18"/>
  <c r="D65" i="18"/>
  <c r="D66" i="18"/>
  <c r="D67" i="18"/>
  <c r="D68" i="18"/>
  <c r="D69" i="18"/>
  <c r="D70" i="18"/>
  <c r="D71" i="18"/>
  <c r="D72" i="18"/>
  <c r="D73" i="18"/>
  <c r="D55" i="18"/>
  <c r="D47" i="18"/>
  <c r="D48" i="18"/>
  <c r="D49" i="18"/>
  <c r="D50" i="18"/>
  <c r="D51" i="18"/>
  <c r="D52" i="18"/>
  <c r="D53" i="18"/>
  <c r="D54" i="18"/>
  <c r="D46" i="18"/>
  <c r="D30" i="18"/>
  <c r="D31" i="18"/>
  <c r="D32" i="18"/>
  <c r="D33" i="18"/>
  <c r="D34" i="18"/>
  <c r="D35" i="18"/>
  <c r="D36" i="18"/>
  <c r="D37" i="18"/>
  <c r="D38" i="18"/>
  <c r="D39" i="18"/>
  <c r="D40" i="18"/>
  <c r="D41" i="18"/>
  <c r="D42" i="18"/>
  <c r="D43" i="18"/>
  <c r="D44" i="18"/>
  <c r="D45" i="18"/>
  <c r="D29" i="18"/>
  <c r="D24" i="18"/>
  <c r="D25" i="18"/>
  <c r="D26" i="18"/>
  <c r="D27" i="18"/>
  <c r="D28" i="18"/>
  <c r="D23" i="18"/>
  <c r="D3" i="18"/>
  <c r="D4" i="18"/>
  <c r="D5" i="18"/>
  <c r="D6" i="18"/>
  <c r="D7" i="18"/>
  <c r="D8" i="18"/>
  <c r="D9" i="18"/>
  <c r="D10" i="18"/>
  <c r="D11" i="18"/>
  <c r="D12" i="18"/>
  <c r="D13" i="18"/>
  <c r="D14" i="18"/>
  <c r="D15" i="18"/>
  <c r="D16" i="18"/>
  <c r="D17" i="18"/>
  <c r="D18" i="18"/>
  <c r="D19" i="18"/>
  <c r="D20" i="18"/>
  <c r="D21" i="18"/>
  <c r="D22" i="18"/>
  <c r="D2" i="18"/>
  <c r="E51" i="1"/>
  <c r="A49" i="1" l="1"/>
  <c r="A48" i="1"/>
  <c r="AZ19" i="1" l="1"/>
  <c r="BA19" i="1"/>
  <c r="BB19" i="1"/>
  <c r="BC19" i="1"/>
  <c r="BD19" i="1"/>
  <c r="AZ20" i="1"/>
  <c r="BA20" i="1"/>
  <c r="BB20" i="1"/>
  <c r="BC20" i="1"/>
  <c r="BD20" i="1"/>
  <c r="AZ21" i="1"/>
  <c r="BA21" i="1"/>
  <c r="BB21" i="1"/>
  <c r="BC21" i="1"/>
  <c r="BD21" i="1"/>
  <c r="AZ22" i="1"/>
  <c r="BA22" i="1"/>
  <c r="BB22" i="1"/>
  <c r="BC22" i="1"/>
  <c r="BD22" i="1"/>
  <c r="AZ23" i="1"/>
  <c r="BA23" i="1"/>
  <c r="BB23" i="1"/>
  <c r="BC23" i="1"/>
  <c r="BD23" i="1"/>
  <c r="AZ24" i="1"/>
  <c r="BA24" i="1"/>
  <c r="BB24" i="1"/>
  <c r="BC24" i="1"/>
  <c r="BD24" i="1"/>
  <c r="AZ25" i="1"/>
  <c r="BA25" i="1"/>
  <c r="BB25" i="1"/>
  <c r="BC25" i="1"/>
  <c r="BD25" i="1"/>
  <c r="AZ26" i="1"/>
  <c r="BA26" i="1"/>
  <c r="BB26" i="1"/>
  <c r="BC26" i="1"/>
  <c r="BD26" i="1"/>
  <c r="AZ27" i="1"/>
  <c r="BA27" i="1"/>
  <c r="BB27" i="1"/>
  <c r="BC27" i="1"/>
  <c r="BD27" i="1"/>
  <c r="AZ28" i="1"/>
  <c r="BA28" i="1"/>
  <c r="BB28" i="1"/>
  <c r="BC28" i="1"/>
  <c r="BD28" i="1"/>
  <c r="AZ29" i="1"/>
  <c r="BA29" i="1"/>
  <c r="BB29" i="1"/>
  <c r="BC29" i="1"/>
  <c r="BD29" i="1"/>
  <c r="AZ30" i="1"/>
  <c r="BA30" i="1"/>
  <c r="BB30" i="1"/>
  <c r="BC30" i="1"/>
  <c r="BD30" i="1"/>
  <c r="AZ31" i="1"/>
  <c r="BA31" i="1"/>
  <c r="BB31" i="1"/>
  <c r="BC31" i="1"/>
  <c r="BD31" i="1"/>
  <c r="AZ32" i="1"/>
  <c r="BA32" i="1"/>
  <c r="BB32" i="1"/>
  <c r="BC32" i="1"/>
  <c r="BD32" i="1"/>
  <c r="AZ33" i="1"/>
  <c r="BA33" i="1"/>
  <c r="BB33" i="1"/>
  <c r="BC33" i="1"/>
  <c r="BD33" i="1"/>
  <c r="AZ34" i="1"/>
  <c r="BA34" i="1"/>
  <c r="BB34" i="1"/>
  <c r="BC34" i="1"/>
  <c r="BD34" i="1"/>
  <c r="AZ35" i="1"/>
  <c r="BA35" i="1"/>
  <c r="BB35" i="1"/>
  <c r="BC35" i="1"/>
  <c r="BD35" i="1"/>
  <c r="AZ36" i="1"/>
  <c r="BA36" i="1"/>
  <c r="BB36" i="1"/>
  <c r="BC36" i="1"/>
  <c r="BD36" i="1"/>
  <c r="AZ37" i="1"/>
  <c r="BA37" i="1"/>
  <c r="BB37" i="1"/>
  <c r="BC37" i="1"/>
  <c r="BD37" i="1"/>
  <c r="BA38" i="1"/>
  <c r="BB38" i="1"/>
  <c r="BC38" i="1"/>
  <c r="AZ39" i="1"/>
  <c r="BA39" i="1"/>
  <c r="BB39" i="1"/>
  <c r="BC39" i="1"/>
  <c r="BD39" i="1"/>
  <c r="AZ40" i="1"/>
  <c r="BA40" i="1"/>
  <c r="BB40" i="1"/>
  <c r="BC40" i="1"/>
  <c r="BD40" i="1"/>
  <c r="AZ41" i="1"/>
  <c r="BA41" i="1"/>
  <c r="BB41" i="1"/>
  <c r="BC41" i="1"/>
  <c r="BD41" i="1"/>
  <c r="AZ42" i="1"/>
  <c r="BA42" i="1"/>
  <c r="BB42" i="1"/>
  <c r="BC42" i="1"/>
  <c r="BD42" i="1"/>
  <c r="AZ43" i="1"/>
  <c r="BA43" i="1"/>
  <c r="BB43" i="1"/>
  <c r="BC43" i="1"/>
  <c r="BD43" i="1"/>
  <c r="AZ44" i="1"/>
  <c r="BA44" i="1"/>
  <c r="BB44" i="1"/>
  <c r="BC44" i="1"/>
  <c r="BD44" i="1"/>
  <c r="AZ45" i="1"/>
  <c r="BA45" i="1"/>
  <c r="BB45" i="1"/>
  <c r="BC45" i="1"/>
  <c r="BD45" i="1"/>
  <c r="BA46" i="1"/>
  <c r="BB46" i="1"/>
  <c r="BC46" i="1"/>
  <c r="AZ47" i="1"/>
  <c r="BA47" i="1"/>
  <c r="BB47" i="1"/>
  <c r="BC47" i="1"/>
  <c r="BD47" i="1"/>
  <c r="AZ50" i="1"/>
  <c r="BA50" i="1"/>
  <c r="BB50" i="1"/>
  <c r="BC50" i="1"/>
  <c r="BD50" i="1"/>
  <c r="AZ51" i="1"/>
  <c r="BA51" i="1"/>
  <c r="BB51" i="1"/>
  <c r="BC51" i="1"/>
  <c r="BD51" i="1"/>
  <c r="AZ52" i="1"/>
  <c r="BA52" i="1"/>
  <c r="BB52" i="1"/>
  <c r="BC52" i="1"/>
  <c r="BD52" i="1"/>
  <c r="AZ53" i="1"/>
  <c r="BA53" i="1"/>
  <c r="BB53" i="1"/>
  <c r="BC53" i="1"/>
  <c r="BD53" i="1"/>
  <c r="AZ54" i="1"/>
  <c r="BA54" i="1"/>
  <c r="BB54" i="1"/>
  <c r="BC54" i="1"/>
  <c r="BD54" i="1"/>
  <c r="AZ55" i="1"/>
  <c r="BA55" i="1"/>
  <c r="BB55" i="1"/>
  <c r="BC55" i="1"/>
  <c r="BD55" i="1"/>
  <c r="AZ56" i="1"/>
  <c r="BA56" i="1"/>
  <c r="BB56" i="1"/>
  <c r="BC56" i="1"/>
  <c r="BD56" i="1"/>
  <c r="AZ57" i="1"/>
  <c r="BA57" i="1"/>
  <c r="BB57" i="1"/>
  <c r="BC57" i="1"/>
  <c r="BD57" i="1"/>
  <c r="AZ58" i="1"/>
  <c r="BA58" i="1"/>
  <c r="BB58" i="1"/>
  <c r="BC58" i="1"/>
  <c r="BD58" i="1"/>
  <c r="AZ60" i="1"/>
  <c r="BA60" i="1"/>
  <c r="BB60" i="1"/>
  <c r="BC60" i="1"/>
  <c r="BD60" i="1"/>
  <c r="AZ61" i="1"/>
  <c r="BA61" i="1"/>
  <c r="BB61" i="1"/>
  <c r="BC61" i="1"/>
  <c r="BD61" i="1"/>
  <c r="AZ64" i="1"/>
  <c r="BA64" i="1"/>
  <c r="BB64" i="1"/>
  <c r="BC64" i="1"/>
  <c r="BD64" i="1"/>
  <c r="AZ65" i="1"/>
  <c r="BA65" i="1"/>
  <c r="BB65" i="1"/>
  <c r="BC65" i="1"/>
  <c r="BD65" i="1"/>
  <c r="AZ66" i="1"/>
  <c r="BA66" i="1"/>
  <c r="BB66" i="1"/>
  <c r="BC66" i="1"/>
  <c r="BD66" i="1"/>
  <c r="AZ67" i="1"/>
  <c r="BA67" i="1"/>
  <c r="BB67" i="1"/>
  <c r="BC67" i="1"/>
  <c r="BD67" i="1"/>
  <c r="AZ68" i="1"/>
  <c r="BA68" i="1"/>
  <c r="BB68" i="1"/>
  <c r="BC68" i="1"/>
  <c r="BD68" i="1"/>
  <c r="AZ69" i="1"/>
  <c r="BA69" i="1"/>
  <c r="BB69" i="1"/>
  <c r="BC69" i="1"/>
  <c r="BD69" i="1"/>
  <c r="AZ70" i="1"/>
  <c r="BA70" i="1"/>
  <c r="BB70" i="1"/>
  <c r="BC70" i="1"/>
  <c r="BD70" i="1"/>
  <c r="AZ71" i="1"/>
  <c r="BA71" i="1"/>
  <c r="BB71" i="1"/>
  <c r="BC71" i="1"/>
  <c r="BD71" i="1"/>
  <c r="AZ72" i="1"/>
  <c r="BA72" i="1"/>
  <c r="BB72" i="1"/>
  <c r="BC72" i="1"/>
  <c r="BD72" i="1"/>
  <c r="AZ73" i="1"/>
  <c r="BA73" i="1"/>
  <c r="BB73" i="1"/>
  <c r="BC73" i="1"/>
  <c r="BD73" i="1"/>
  <c r="AZ74" i="1"/>
  <c r="BA74" i="1"/>
  <c r="BB74" i="1"/>
  <c r="BC74" i="1"/>
  <c r="BD74" i="1"/>
  <c r="AZ75" i="1"/>
  <c r="BA75" i="1"/>
  <c r="BB75" i="1"/>
  <c r="BC75" i="1"/>
  <c r="BD75" i="1"/>
  <c r="BA76" i="1"/>
  <c r="BB76" i="1"/>
  <c r="BC76" i="1"/>
  <c r="BD76" i="1"/>
  <c r="AZ77" i="1"/>
  <c r="BA77" i="1"/>
  <c r="BB77" i="1"/>
  <c r="BC77" i="1"/>
  <c r="BD77" i="1"/>
  <c r="AZ78" i="1"/>
  <c r="BA78" i="1"/>
  <c r="BB78" i="1"/>
  <c r="BC78" i="1"/>
  <c r="BD78" i="1"/>
  <c r="AZ79" i="1"/>
  <c r="BA79" i="1"/>
  <c r="BB79" i="1"/>
  <c r="BC79" i="1"/>
  <c r="BD79" i="1"/>
  <c r="AZ80" i="1"/>
  <c r="BA80" i="1"/>
  <c r="BB80" i="1"/>
  <c r="BC80" i="1"/>
  <c r="BD80" i="1"/>
  <c r="AZ81" i="1"/>
  <c r="BA81" i="1"/>
  <c r="BB81" i="1"/>
  <c r="BC81" i="1"/>
  <c r="BD81" i="1"/>
  <c r="AZ82" i="1"/>
  <c r="BA82" i="1"/>
  <c r="BB82" i="1"/>
  <c r="BC82" i="1"/>
  <c r="BD82" i="1"/>
  <c r="AZ83" i="1"/>
  <c r="BA83" i="1"/>
  <c r="BB83" i="1"/>
  <c r="BC83" i="1"/>
  <c r="BD83" i="1"/>
  <c r="AZ84" i="1"/>
  <c r="BA84" i="1"/>
  <c r="BB84" i="1"/>
  <c r="BC84" i="1"/>
  <c r="BD84" i="1"/>
  <c r="AZ85" i="1"/>
  <c r="BA85" i="1"/>
  <c r="BB85" i="1"/>
  <c r="BC85" i="1"/>
  <c r="BD85" i="1"/>
  <c r="AZ86" i="1"/>
  <c r="BA86" i="1"/>
  <c r="BB86" i="1"/>
  <c r="BC86" i="1"/>
  <c r="BD86" i="1"/>
  <c r="AZ87" i="1"/>
  <c r="BA87" i="1"/>
  <c r="BB87" i="1"/>
  <c r="BC87" i="1"/>
  <c r="BD87" i="1"/>
  <c r="AZ88" i="1"/>
  <c r="BA88" i="1"/>
  <c r="BB88" i="1"/>
  <c r="BC88" i="1"/>
  <c r="BD88" i="1"/>
  <c r="AZ89" i="1"/>
  <c r="BA89" i="1"/>
  <c r="BB89" i="1"/>
  <c r="BC89" i="1"/>
  <c r="BD89" i="1"/>
  <c r="AZ90" i="1"/>
  <c r="BA90" i="1"/>
  <c r="BB90" i="1"/>
  <c r="BC90" i="1"/>
  <c r="BD90" i="1"/>
  <c r="AZ91" i="1"/>
  <c r="BA91" i="1"/>
  <c r="BB91" i="1"/>
  <c r="BC91" i="1"/>
  <c r="BD91" i="1"/>
  <c r="AZ92" i="1"/>
  <c r="BA92" i="1"/>
  <c r="BB92" i="1"/>
  <c r="BC92" i="1"/>
  <c r="BD92" i="1"/>
  <c r="AZ93" i="1"/>
  <c r="BA93" i="1"/>
  <c r="BB93" i="1"/>
  <c r="BC93" i="1"/>
  <c r="BD93" i="1"/>
  <c r="AZ94" i="1"/>
  <c r="BA94" i="1"/>
  <c r="BB94" i="1"/>
  <c r="BC94" i="1"/>
  <c r="BD94" i="1"/>
  <c r="AZ95" i="1"/>
  <c r="BA95" i="1"/>
  <c r="BB95" i="1"/>
  <c r="BC95" i="1"/>
  <c r="BD95" i="1"/>
  <c r="AZ96" i="1"/>
  <c r="BA96" i="1"/>
  <c r="BB96" i="1"/>
  <c r="BC96" i="1"/>
  <c r="BD96" i="1"/>
  <c r="AZ97" i="1"/>
  <c r="BA97" i="1"/>
  <c r="BB97" i="1"/>
  <c r="BC97" i="1"/>
  <c r="BD97" i="1"/>
  <c r="AZ98" i="1"/>
  <c r="BA98" i="1"/>
  <c r="BB98" i="1"/>
  <c r="BC98" i="1"/>
  <c r="BD98" i="1"/>
  <c r="AZ99" i="1"/>
  <c r="BA99" i="1"/>
  <c r="BB99" i="1"/>
  <c r="BC99" i="1"/>
  <c r="BD99" i="1"/>
  <c r="AZ100" i="1"/>
  <c r="BA100" i="1"/>
  <c r="BB100" i="1"/>
  <c r="BC100" i="1"/>
  <c r="BD100" i="1"/>
  <c r="AZ101" i="1"/>
  <c r="BA101" i="1"/>
  <c r="BB101" i="1"/>
  <c r="BC101" i="1"/>
  <c r="BD101" i="1"/>
  <c r="AZ102" i="1"/>
  <c r="BA102" i="1"/>
  <c r="BB102" i="1"/>
  <c r="BC102" i="1"/>
  <c r="BD102" i="1"/>
  <c r="AZ103" i="1"/>
  <c r="BA103" i="1"/>
  <c r="BB103" i="1"/>
  <c r="BC103" i="1"/>
  <c r="BD103" i="1"/>
  <c r="AZ18" i="1"/>
  <c r="BA18" i="1"/>
  <c r="BB18" i="1"/>
  <c r="BC18" i="1"/>
  <c r="BD18" i="1"/>
  <c r="BD17" i="1"/>
  <c r="BC17" i="1"/>
  <c r="BA17" i="1"/>
  <c r="BB17" i="1"/>
  <c r="AZ17" i="1"/>
  <c r="AY17" i="1"/>
  <c r="AY18"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50" i="1"/>
  <c r="AY51" i="1"/>
  <c r="AY52" i="1"/>
  <c r="AY53" i="1"/>
  <c r="AY54" i="1"/>
  <c r="AY55" i="1"/>
  <c r="AY56" i="1"/>
  <c r="AY57" i="1"/>
  <c r="AY58" i="1"/>
  <c r="AY60" i="1"/>
  <c r="AY61"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102" i="1"/>
  <c r="AY103" i="1"/>
  <c r="Z49" i="1"/>
  <c r="Y49" i="1"/>
  <c r="X49" i="1" s="1"/>
  <c r="E24" i="20" l="1"/>
  <c r="D19" i="20" l="1"/>
  <c r="D20" i="20" s="1"/>
  <c r="D23" i="20"/>
  <c r="D37" i="20"/>
  <c r="O42" i="22" s="1"/>
  <c r="D4" i="20"/>
  <c r="D27" i="20" l="1"/>
  <c r="D28" i="20" s="1"/>
  <c r="AB42" i="22"/>
  <c r="AA42" i="22"/>
  <c r="AE42" i="22"/>
  <c r="AD42" i="22"/>
  <c r="AC42" i="22"/>
  <c r="X44" i="1"/>
  <c r="N18" i="1"/>
  <c r="AG42" i="22" l="1"/>
  <c r="AG48" i="22" s="1"/>
  <c r="C6" i="19"/>
  <c r="C5" i="19"/>
  <c r="C3" i="19"/>
  <c r="B4" i="19" l="1"/>
  <c r="B3" i="19"/>
  <c r="B55" i="20"/>
  <c r="B54" i="20"/>
  <c r="B53" i="20"/>
  <c r="B52" i="20"/>
  <c r="E55" i="20" l="1"/>
  <c r="D55" i="20"/>
  <c r="D52" i="20"/>
  <c r="E52" i="20"/>
  <c r="D53" i="20"/>
  <c r="E53" i="20"/>
  <c r="Y31" i="1"/>
  <c r="AT92" i="1"/>
  <c r="AS92" i="1"/>
  <c r="AR92" i="1"/>
  <c r="AQ92" i="1"/>
  <c r="AP92" i="1"/>
  <c r="AT90" i="1"/>
  <c r="AS90" i="1"/>
  <c r="AR90" i="1"/>
  <c r="AQ90" i="1"/>
  <c r="AP90" i="1"/>
  <c r="AT88" i="1"/>
  <c r="AS88" i="1"/>
  <c r="AR88" i="1"/>
  <c r="AQ88" i="1"/>
  <c r="AP88" i="1"/>
  <c r="AT87" i="1"/>
  <c r="AS87" i="1"/>
  <c r="AR87" i="1"/>
  <c r="AQ87" i="1"/>
  <c r="AP87" i="1"/>
  <c r="AT86" i="1"/>
  <c r="AS86" i="1"/>
  <c r="AR86" i="1"/>
  <c r="AQ86" i="1"/>
  <c r="AP86" i="1"/>
  <c r="AT85" i="1"/>
  <c r="AS85" i="1"/>
  <c r="AR85" i="1"/>
  <c r="AQ85" i="1"/>
  <c r="AP85" i="1"/>
  <c r="AT84" i="1"/>
  <c r="AS84" i="1"/>
  <c r="AR84" i="1"/>
  <c r="AQ84" i="1"/>
  <c r="AP84" i="1"/>
  <c r="AT79" i="1"/>
  <c r="AS79" i="1"/>
  <c r="AR79" i="1"/>
  <c r="AQ79" i="1"/>
  <c r="AP79" i="1"/>
  <c r="AT78" i="1"/>
  <c r="AS78" i="1"/>
  <c r="AR78" i="1"/>
  <c r="AQ78" i="1"/>
  <c r="AP78" i="1"/>
  <c r="AT69" i="1"/>
  <c r="AS69" i="1"/>
  <c r="AR69" i="1"/>
  <c r="AQ69" i="1"/>
  <c r="AP69" i="1"/>
  <c r="AT67" i="1"/>
  <c r="AS67" i="1"/>
  <c r="AR67" i="1"/>
  <c r="AQ67" i="1"/>
  <c r="AP67" i="1"/>
  <c r="AT53" i="1"/>
  <c r="AS53" i="1"/>
  <c r="AR53" i="1"/>
  <c r="AQ53" i="1"/>
  <c r="AP53" i="1"/>
  <c r="AT51" i="1"/>
  <c r="AS51" i="1"/>
  <c r="AR51" i="1"/>
  <c r="AQ51" i="1"/>
  <c r="AP51" i="1"/>
  <c r="AT50" i="1"/>
  <c r="AS50" i="1"/>
  <c r="AR50" i="1"/>
  <c r="AQ50" i="1"/>
  <c r="AP50" i="1"/>
  <c r="AT44" i="1"/>
  <c r="AS44" i="1"/>
  <c r="AR44" i="1"/>
  <c r="AQ44" i="1"/>
  <c r="AP44" i="1"/>
  <c r="AT40" i="1"/>
  <c r="AS40" i="1"/>
  <c r="AR40" i="1"/>
  <c r="AQ40" i="1"/>
  <c r="AP40" i="1"/>
  <c r="AT34" i="1"/>
  <c r="AS34" i="1"/>
  <c r="AR34" i="1"/>
  <c r="AQ34" i="1"/>
  <c r="AP34" i="1"/>
  <c r="AT28" i="1"/>
  <c r="AS28" i="1"/>
  <c r="AR28" i="1"/>
  <c r="AQ28" i="1"/>
  <c r="AP28" i="1"/>
  <c r="AT21" i="1"/>
  <c r="AS21" i="1"/>
  <c r="AR21" i="1"/>
  <c r="AQ21" i="1"/>
  <c r="AP21" i="1"/>
  <c r="AO84" i="1" l="1"/>
  <c r="AO67" i="1"/>
  <c r="AO69" i="1"/>
  <c r="AO85" i="1"/>
  <c r="AO53" i="1"/>
  <c r="AO51" i="1"/>
  <c r="AO50" i="1"/>
  <c r="AO28" i="1"/>
  <c r="AO79" i="1"/>
  <c r="AO44" i="1"/>
  <c r="AO78" i="1"/>
  <c r="AO90" i="1"/>
  <c r="AO88" i="1"/>
  <c r="AO40" i="1"/>
  <c r="AO87" i="1"/>
  <c r="AO86" i="1"/>
  <c r="AO92" i="1"/>
  <c r="AO34" i="1"/>
  <c r="E39" i="20" l="1"/>
  <c r="D39" i="20"/>
  <c r="AO21" i="1"/>
  <c r="D40" i="20" l="1"/>
  <c r="C15" i="19" s="1"/>
  <c r="X38" i="1" l="1"/>
  <c r="AN32" i="1"/>
  <c r="AI100" i="1"/>
  <c r="AJ100" i="1"/>
  <c r="AK100" i="1"/>
  <c r="AL100" i="1"/>
  <c r="AM100" i="1"/>
  <c r="AI101" i="1"/>
  <c r="AJ101" i="1"/>
  <c r="AK101" i="1"/>
  <c r="AL101" i="1"/>
  <c r="AM101" i="1"/>
  <c r="AI102" i="1"/>
  <c r="AJ102" i="1"/>
  <c r="AK102" i="1"/>
  <c r="AL102" i="1"/>
  <c r="AM102" i="1"/>
  <c r="AI103" i="1"/>
  <c r="AJ103" i="1"/>
  <c r="AK103" i="1"/>
  <c r="AL103" i="1"/>
  <c r="AM103" i="1"/>
  <c r="AM99" i="1"/>
  <c r="AL99" i="1"/>
  <c r="AK99" i="1"/>
  <c r="AJ99" i="1"/>
  <c r="AI99" i="1"/>
  <c r="AI96" i="1"/>
  <c r="AJ96" i="1"/>
  <c r="AK96" i="1"/>
  <c r="AL96" i="1"/>
  <c r="AM96" i="1"/>
  <c r="AI79" i="1"/>
  <c r="AJ79" i="1"/>
  <c r="AK79" i="1"/>
  <c r="AL79" i="1"/>
  <c r="AM79" i="1"/>
  <c r="AI80" i="1"/>
  <c r="AJ80" i="1"/>
  <c r="AK80" i="1"/>
  <c r="AL80" i="1"/>
  <c r="AM80" i="1"/>
  <c r="AI81" i="1"/>
  <c r="AJ81" i="1"/>
  <c r="AK81" i="1"/>
  <c r="AL81" i="1"/>
  <c r="AM81" i="1"/>
  <c r="AI82" i="1"/>
  <c r="AJ82" i="1"/>
  <c r="AK82" i="1"/>
  <c r="AL82" i="1"/>
  <c r="AM82" i="1"/>
  <c r="AI83" i="1"/>
  <c r="AJ83" i="1"/>
  <c r="AK83" i="1"/>
  <c r="AL83" i="1"/>
  <c r="AM83" i="1"/>
  <c r="AI84" i="1"/>
  <c r="AJ84" i="1"/>
  <c r="AK84" i="1"/>
  <c r="AL84" i="1"/>
  <c r="AM84" i="1"/>
  <c r="AI85" i="1"/>
  <c r="AJ85" i="1"/>
  <c r="AK85" i="1"/>
  <c r="AL85" i="1"/>
  <c r="AM85" i="1"/>
  <c r="AI86" i="1"/>
  <c r="AJ86" i="1"/>
  <c r="AK86" i="1"/>
  <c r="AL86" i="1"/>
  <c r="AM86" i="1"/>
  <c r="AI87" i="1"/>
  <c r="AJ87" i="1"/>
  <c r="AK87" i="1"/>
  <c r="AL87" i="1"/>
  <c r="AM87" i="1"/>
  <c r="AI88" i="1"/>
  <c r="AJ88" i="1"/>
  <c r="AK88" i="1"/>
  <c r="AL88" i="1"/>
  <c r="AM88" i="1"/>
  <c r="AI89" i="1"/>
  <c r="AJ89" i="1"/>
  <c r="AK89" i="1"/>
  <c r="AL89" i="1"/>
  <c r="AM89" i="1"/>
  <c r="AI90" i="1"/>
  <c r="AJ90" i="1"/>
  <c r="AK90" i="1"/>
  <c r="AL90" i="1"/>
  <c r="AM90" i="1"/>
  <c r="AI91" i="1"/>
  <c r="AJ91" i="1"/>
  <c r="AK91" i="1"/>
  <c r="AL91" i="1"/>
  <c r="AM91" i="1"/>
  <c r="AI92" i="1"/>
  <c r="AJ92" i="1"/>
  <c r="AK92" i="1"/>
  <c r="AL92" i="1"/>
  <c r="AM92" i="1"/>
  <c r="AI93" i="1"/>
  <c r="AJ93" i="1"/>
  <c r="AK93" i="1"/>
  <c r="AL93" i="1"/>
  <c r="AM93" i="1"/>
  <c r="AI94" i="1"/>
  <c r="AJ94" i="1"/>
  <c r="AK94" i="1"/>
  <c r="AL94" i="1"/>
  <c r="AM94" i="1"/>
  <c r="AI95" i="1"/>
  <c r="AJ95" i="1"/>
  <c r="AK95" i="1"/>
  <c r="AL95" i="1"/>
  <c r="AM95" i="1"/>
  <c r="AM78" i="1"/>
  <c r="AL78" i="1"/>
  <c r="AK78" i="1"/>
  <c r="AJ78" i="1"/>
  <c r="AI78" i="1"/>
  <c r="AI68" i="1"/>
  <c r="AJ68" i="1"/>
  <c r="AK68" i="1"/>
  <c r="AL68" i="1"/>
  <c r="AM68" i="1"/>
  <c r="AI69" i="1"/>
  <c r="AJ69" i="1"/>
  <c r="AK69" i="1"/>
  <c r="AL69" i="1"/>
  <c r="AM69" i="1"/>
  <c r="AI70" i="1"/>
  <c r="AJ70" i="1"/>
  <c r="AK70" i="1"/>
  <c r="AL70" i="1"/>
  <c r="AM70" i="1"/>
  <c r="AI71" i="1"/>
  <c r="AJ71" i="1"/>
  <c r="AK71" i="1"/>
  <c r="AL71" i="1"/>
  <c r="AM71" i="1"/>
  <c r="AI72" i="1"/>
  <c r="AJ72" i="1"/>
  <c r="AK72" i="1"/>
  <c r="AL72" i="1"/>
  <c r="AM72" i="1"/>
  <c r="AI73" i="1"/>
  <c r="AJ73" i="1"/>
  <c r="AK73" i="1"/>
  <c r="AL73" i="1"/>
  <c r="AM73" i="1"/>
  <c r="AI74" i="1"/>
  <c r="AJ74" i="1"/>
  <c r="AK74" i="1"/>
  <c r="AL74" i="1"/>
  <c r="AM74" i="1"/>
  <c r="AI75" i="1"/>
  <c r="AJ75" i="1"/>
  <c r="AK75" i="1"/>
  <c r="AL75" i="1"/>
  <c r="AM75" i="1"/>
  <c r="AM67" i="1"/>
  <c r="AL67" i="1"/>
  <c r="AK67" i="1"/>
  <c r="AJ67" i="1"/>
  <c r="AI67" i="1"/>
  <c r="AI49" i="1"/>
  <c r="AJ49" i="1"/>
  <c r="AK49" i="1"/>
  <c r="AL49" i="1"/>
  <c r="AM49" i="1"/>
  <c r="AI50" i="1"/>
  <c r="AJ50" i="1"/>
  <c r="AK50" i="1"/>
  <c r="AL50" i="1"/>
  <c r="AM50" i="1"/>
  <c r="AI51" i="1"/>
  <c r="AJ51" i="1"/>
  <c r="AK51" i="1"/>
  <c r="AL51" i="1"/>
  <c r="AM51" i="1"/>
  <c r="AI52" i="1"/>
  <c r="AJ52" i="1"/>
  <c r="AK52" i="1"/>
  <c r="AL52" i="1"/>
  <c r="AM52" i="1"/>
  <c r="AI53" i="1"/>
  <c r="AJ53" i="1"/>
  <c r="AK53" i="1"/>
  <c r="AL53" i="1"/>
  <c r="AM53" i="1"/>
  <c r="AI54" i="1"/>
  <c r="AJ54" i="1"/>
  <c r="AK54" i="1"/>
  <c r="AL54" i="1"/>
  <c r="AM54" i="1"/>
  <c r="AI55" i="1"/>
  <c r="AJ55" i="1"/>
  <c r="AK55" i="1"/>
  <c r="AL55" i="1"/>
  <c r="AM55" i="1"/>
  <c r="AI56" i="1"/>
  <c r="AJ56" i="1"/>
  <c r="AK56" i="1"/>
  <c r="AL56" i="1"/>
  <c r="AM56" i="1"/>
  <c r="AI57" i="1"/>
  <c r="AJ57" i="1"/>
  <c r="AK57" i="1"/>
  <c r="AL57" i="1"/>
  <c r="AM57" i="1"/>
  <c r="AI58" i="1"/>
  <c r="AJ58" i="1"/>
  <c r="AK58" i="1"/>
  <c r="AL58" i="1"/>
  <c r="AM58" i="1"/>
  <c r="AI59" i="1"/>
  <c r="AJ59" i="1"/>
  <c r="AK59" i="1"/>
  <c r="AL59" i="1"/>
  <c r="AM59" i="1"/>
  <c r="AI60" i="1"/>
  <c r="AJ60" i="1"/>
  <c r="AK60" i="1"/>
  <c r="AL60" i="1"/>
  <c r="AM60" i="1"/>
  <c r="AI61" i="1"/>
  <c r="AJ61" i="1"/>
  <c r="AK61" i="1"/>
  <c r="AL61" i="1"/>
  <c r="AM61" i="1"/>
  <c r="AI62" i="1"/>
  <c r="AJ62" i="1"/>
  <c r="AK62" i="1"/>
  <c r="AL62" i="1"/>
  <c r="AM62" i="1"/>
  <c r="AI63" i="1"/>
  <c r="AJ63" i="1"/>
  <c r="AK63" i="1"/>
  <c r="AL63" i="1"/>
  <c r="AM63" i="1"/>
  <c r="AI64" i="1"/>
  <c r="AJ64" i="1"/>
  <c r="AK64" i="1"/>
  <c r="AL64" i="1"/>
  <c r="AM64" i="1"/>
  <c r="AM48" i="1"/>
  <c r="AL48" i="1"/>
  <c r="AK48" i="1"/>
  <c r="AJ48" i="1"/>
  <c r="AI48" i="1"/>
  <c r="AI41" i="1"/>
  <c r="AJ41" i="1"/>
  <c r="AK41" i="1"/>
  <c r="AL41" i="1"/>
  <c r="AM41" i="1"/>
  <c r="AI42" i="1"/>
  <c r="AJ42" i="1"/>
  <c r="AK42" i="1"/>
  <c r="AL42" i="1"/>
  <c r="AM42" i="1"/>
  <c r="AI43" i="1"/>
  <c r="AJ43" i="1"/>
  <c r="AK43" i="1"/>
  <c r="AL43" i="1"/>
  <c r="AM43" i="1"/>
  <c r="AI44" i="1"/>
  <c r="AJ44" i="1"/>
  <c r="AK44" i="1"/>
  <c r="AL44" i="1"/>
  <c r="AM44" i="1"/>
  <c r="AI45" i="1"/>
  <c r="AJ45" i="1"/>
  <c r="AK45" i="1"/>
  <c r="AL45" i="1"/>
  <c r="AM45" i="1"/>
  <c r="AM40" i="1"/>
  <c r="AL40" i="1"/>
  <c r="AK40" i="1"/>
  <c r="AJ40" i="1"/>
  <c r="AI40" i="1"/>
  <c r="AJ18" i="1"/>
  <c r="AK18" i="1"/>
  <c r="AL18" i="1"/>
  <c r="AM18" i="1"/>
  <c r="AJ19" i="1"/>
  <c r="AK19" i="1"/>
  <c r="AL19" i="1"/>
  <c r="AM19" i="1"/>
  <c r="AJ20" i="1"/>
  <c r="AK20" i="1"/>
  <c r="AL20" i="1"/>
  <c r="AM20" i="1"/>
  <c r="AJ21" i="1"/>
  <c r="AK21" i="1"/>
  <c r="AL21" i="1"/>
  <c r="AM21" i="1"/>
  <c r="AJ22" i="1"/>
  <c r="AK22" i="1"/>
  <c r="AL22" i="1"/>
  <c r="AM22" i="1"/>
  <c r="AJ23" i="1"/>
  <c r="AK23" i="1"/>
  <c r="AL23" i="1"/>
  <c r="AM23" i="1"/>
  <c r="AJ24" i="1"/>
  <c r="AK24" i="1"/>
  <c r="AL24" i="1"/>
  <c r="AM24" i="1"/>
  <c r="AJ25" i="1"/>
  <c r="AK25" i="1"/>
  <c r="AL25" i="1"/>
  <c r="AM25" i="1"/>
  <c r="AJ26" i="1"/>
  <c r="AK26" i="1"/>
  <c r="AL26" i="1"/>
  <c r="AM26" i="1"/>
  <c r="AJ27" i="1"/>
  <c r="AK27" i="1"/>
  <c r="AL27" i="1"/>
  <c r="AM27" i="1"/>
  <c r="AJ28" i="1"/>
  <c r="AK28" i="1"/>
  <c r="AL28" i="1"/>
  <c r="AM28" i="1"/>
  <c r="AJ29" i="1"/>
  <c r="AK29" i="1"/>
  <c r="AL29" i="1"/>
  <c r="AM29" i="1"/>
  <c r="AJ30" i="1"/>
  <c r="AK30" i="1"/>
  <c r="AL30" i="1"/>
  <c r="AM30" i="1"/>
  <c r="AJ31" i="1"/>
  <c r="AK31" i="1"/>
  <c r="AL31" i="1"/>
  <c r="AM31" i="1"/>
  <c r="AJ32" i="1"/>
  <c r="AK32" i="1"/>
  <c r="AL32" i="1"/>
  <c r="AM32" i="1"/>
  <c r="AJ33" i="1"/>
  <c r="AK33" i="1"/>
  <c r="AL33" i="1"/>
  <c r="AM33" i="1"/>
  <c r="AJ34" i="1"/>
  <c r="AK34" i="1"/>
  <c r="AL34" i="1"/>
  <c r="AM34" i="1"/>
  <c r="AJ35" i="1"/>
  <c r="AK35" i="1"/>
  <c r="AL35" i="1"/>
  <c r="AM35" i="1"/>
  <c r="AJ36" i="1"/>
  <c r="AK36" i="1"/>
  <c r="AL36" i="1"/>
  <c r="AM36" i="1"/>
  <c r="AJ37" i="1"/>
  <c r="AK37" i="1"/>
  <c r="AL37" i="1"/>
  <c r="AM37" i="1"/>
  <c r="AI18" i="1"/>
  <c r="AI19" i="1"/>
  <c r="AI20" i="1"/>
  <c r="AI21" i="1"/>
  <c r="AI22" i="1"/>
  <c r="AI23" i="1"/>
  <c r="AI24" i="1"/>
  <c r="AI25" i="1"/>
  <c r="AI26" i="1"/>
  <c r="AI27" i="1"/>
  <c r="AI28" i="1"/>
  <c r="AI29" i="1"/>
  <c r="AI30" i="1"/>
  <c r="AI31" i="1"/>
  <c r="AI32" i="1"/>
  <c r="AI33" i="1"/>
  <c r="AI34" i="1"/>
  <c r="AI35" i="1"/>
  <c r="AI36" i="1"/>
  <c r="AI37" i="1"/>
  <c r="AM17" i="1"/>
  <c r="AL17" i="1"/>
  <c r="AK17" i="1"/>
  <c r="AJ17" i="1"/>
  <c r="AI17" i="1"/>
  <c r="X100" i="1" l="1"/>
  <c r="X101" i="1"/>
  <c r="X102" i="1"/>
  <c r="X103" i="1"/>
  <c r="X99" i="1"/>
  <c r="X79" i="1"/>
  <c r="X80" i="1"/>
  <c r="X81" i="1"/>
  <c r="X82" i="1"/>
  <c r="X83" i="1"/>
  <c r="X84" i="1"/>
  <c r="X85" i="1"/>
  <c r="X86" i="1"/>
  <c r="X87" i="1"/>
  <c r="X88" i="1"/>
  <c r="X89" i="1"/>
  <c r="X90" i="1"/>
  <c r="X91" i="1"/>
  <c r="X92" i="1"/>
  <c r="X93" i="1"/>
  <c r="X94" i="1"/>
  <c r="X95" i="1"/>
  <c r="X96" i="1"/>
  <c r="X78" i="1"/>
  <c r="X72" i="1" l="1"/>
  <c r="X74" i="1"/>
  <c r="X75" i="1"/>
  <c r="X73" i="1"/>
  <c r="X70" i="1"/>
  <c r="X69" i="1"/>
  <c r="X67" i="1"/>
  <c r="X68" i="1"/>
  <c r="X71" i="1"/>
  <c r="X64" i="1"/>
  <c r="X63" i="1"/>
  <c r="X62" i="1"/>
  <c r="X61" i="1"/>
  <c r="X60" i="1"/>
  <c r="X59" i="1"/>
  <c r="X57" i="1"/>
  <c r="X58" i="1"/>
  <c r="X56" i="1"/>
  <c r="X55" i="1"/>
  <c r="X54" i="1"/>
  <c r="X32" i="1"/>
  <c r="X51" i="1"/>
  <c r="X52" i="1"/>
  <c r="X53" i="1"/>
  <c r="X50" i="1"/>
  <c r="X48" i="1"/>
  <c r="X41" i="1"/>
  <c r="X42" i="1"/>
  <c r="X43" i="1"/>
  <c r="X45" i="1"/>
  <c r="X40" i="1"/>
  <c r="X34" i="1"/>
  <c r="X35" i="1"/>
  <c r="X36" i="1"/>
  <c r="X37" i="1"/>
  <c r="X33" i="1"/>
  <c r="Y32" i="1"/>
  <c r="X18" i="1" l="1"/>
  <c r="X19" i="1"/>
  <c r="X20" i="1"/>
  <c r="X21" i="1"/>
  <c r="X22" i="1"/>
  <c r="X23" i="1"/>
  <c r="X24" i="1"/>
  <c r="X25" i="1"/>
  <c r="X26" i="1"/>
  <c r="X27" i="1"/>
  <c r="X28" i="1"/>
  <c r="X29" i="1"/>
  <c r="X30" i="1"/>
  <c r="X31" i="1"/>
  <c r="X17" i="1"/>
  <c r="D107" i="10" l="1"/>
  <c r="D104" i="10"/>
  <c r="D105" i="10"/>
  <c r="D106" i="10"/>
  <c r="D103" i="10"/>
  <c r="D83" i="10"/>
  <c r="D84" i="10"/>
  <c r="D85" i="10"/>
  <c r="D86" i="10"/>
  <c r="D87" i="10"/>
  <c r="D88" i="10"/>
  <c r="D89" i="10"/>
  <c r="D90" i="10"/>
  <c r="D91" i="10"/>
  <c r="D92" i="10"/>
  <c r="D93" i="10"/>
  <c r="D94" i="10"/>
  <c r="D95" i="10"/>
  <c r="D96" i="10"/>
  <c r="D97" i="10"/>
  <c r="D98" i="10"/>
  <c r="D99" i="10"/>
  <c r="D100" i="10"/>
  <c r="D82" i="10"/>
  <c r="D72" i="10"/>
  <c r="D73" i="10"/>
  <c r="D74" i="10"/>
  <c r="D75" i="10"/>
  <c r="D76" i="10"/>
  <c r="D77" i="10"/>
  <c r="D78" i="10"/>
  <c r="D79" i="10"/>
  <c r="D71" i="10"/>
  <c r="D54" i="10"/>
  <c r="D55" i="10"/>
  <c r="D56" i="10"/>
  <c r="D57" i="10"/>
  <c r="D58" i="10"/>
  <c r="D59" i="10"/>
  <c r="D60" i="10"/>
  <c r="D61" i="10"/>
  <c r="D62" i="10"/>
  <c r="D64" i="10"/>
  <c r="D65" i="10"/>
  <c r="D68" i="10"/>
  <c r="D45" i="10"/>
  <c r="D46" i="10"/>
  <c r="D47" i="10"/>
  <c r="D48" i="10"/>
  <c r="D49" i="10"/>
  <c r="D44" i="10"/>
  <c r="D23" i="10"/>
  <c r="D24" i="10"/>
  <c r="D25" i="10"/>
  <c r="D26" i="10"/>
  <c r="D27" i="10"/>
  <c r="D28" i="10"/>
  <c r="D29" i="10"/>
  <c r="D30" i="10"/>
  <c r="D31" i="10"/>
  <c r="D32" i="10"/>
  <c r="D33" i="10"/>
  <c r="D34" i="10"/>
  <c r="D35" i="10"/>
  <c r="D36" i="10"/>
  <c r="D37" i="10"/>
  <c r="D38" i="10"/>
  <c r="D39" i="10"/>
  <c r="D40" i="10"/>
  <c r="D41" i="10"/>
  <c r="D22" i="10"/>
  <c r="D21" i="10"/>
  <c r="A2" i="18" l="1"/>
  <c r="C2" i="18" s="1"/>
  <c r="A3" i="18"/>
  <c r="C3" i="18" s="1"/>
  <c r="A4" i="18"/>
  <c r="C4" i="18" s="1"/>
  <c r="A5" i="18"/>
  <c r="C5" i="18" s="1"/>
  <c r="A6" i="18"/>
  <c r="C6" i="18" s="1"/>
  <c r="A7" i="18"/>
  <c r="C7" i="18" s="1"/>
  <c r="A8" i="18"/>
  <c r="C8" i="18" s="1"/>
  <c r="A9" i="18"/>
  <c r="C9" i="18" s="1"/>
  <c r="A10" i="18"/>
  <c r="C10" i="18" s="1"/>
  <c r="A11" i="18"/>
  <c r="C11" i="18" s="1"/>
  <c r="A12" i="18"/>
  <c r="C12" i="18" s="1"/>
  <c r="A13" i="18"/>
  <c r="C13" i="18" s="1"/>
  <c r="A14" i="18"/>
  <c r="C14" i="18" s="1"/>
  <c r="A15" i="18"/>
  <c r="C15" i="18" s="1"/>
  <c r="A16" i="18"/>
  <c r="C16" i="18" s="1"/>
  <c r="A17" i="18"/>
  <c r="C17" i="18" s="1"/>
  <c r="A18" i="18"/>
  <c r="C18" i="18" s="1"/>
  <c r="A19" i="18"/>
  <c r="C19" i="18" s="1"/>
  <c r="A20" i="18"/>
  <c r="C20" i="18" s="1"/>
  <c r="A21" i="18"/>
  <c r="C21" i="18" s="1"/>
  <c r="A22" i="18"/>
  <c r="C22" i="18" s="1"/>
  <c r="A23" i="18"/>
  <c r="C23" i="18" s="1"/>
  <c r="A24" i="18"/>
  <c r="C24" i="18" s="1"/>
  <c r="A25" i="18"/>
  <c r="C25" i="18" s="1"/>
  <c r="A26" i="18"/>
  <c r="C26" i="18" s="1"/>
  <c r="A27" i="18"/>
  <c r="C27" i="18" s="1"/>
  <c r="A28" i="18"/>
  <c r="C28" i="18" s="1"/>
  <c r="A29" i="18"/>
  <c r="C29" i="18" s="1"/>
  <c r="A30" i="18"/>
  <c r="C30" i="18" s="1"/>
  <c r="A31" i="18"/>
  <c r="C31" i="18" s="1"/>
  <c r="A32" i="18"/>
  <c r="C32" i="18" s="1"/>
  <c r="A33" i="18"/>
  <c r="C33" i="18" s="1"/>
  <c r="A34" i="18"/>
  <c r="C34" i="18" s="1"/>
  <c r="A35" i="18"/>
  <c r="C35" i="18" s="1"/>
  <c r="A36" i="18"/>
  <c r="C36" i="18" s="1"/>
  <c r="A37" i="18"/>
  <c r="C37" i="18" s="1"/>
  <c r="A38" i="18"/>
  <c r="C38" i="18" s="1"/>
  <c r="A39" i="18"/>
  <c r="C39" i="18" s="1"/>
  <c r="A40" i="18"/>
  <c r="C40" i="18" s="1"/>
  <c r="A41" i="18"/>
  <c r="C41" i="18" s="1"/>
  <c r="A42" i="18"/>
  <c r="C42" i="18" s="1"/>
  <c r="A43" i="18"/>
  <c r="C43" i="18" s="1"/>
  <c r="A44" i="18"/>
  <c r="C44" i="18" s="1"/>
  <c r="A45" i="18"/>
  <c r="C45" i="18" s="1"/>
  <c r="A46" i="18"/>
  <c r="C46" i="18" s="1"/>
  <c r="A47" i="18"/>
  <c r="C47" i="18" s="1"/>
  <c r="A48" i="18"/>
  <c r="C48" i="18" s="1"/>
  <c r="A49" i="18"/>
  <c r="C49" i="18" s="1"/>
  <c r="A50" i="18"/>
  <c r="C50" i="18" s="1"/>
  <c r="A51" i="18"/>
  <c r="C51" i="18" s="1"/>
  <c r="A52" i="18"/>
  <c r="C52" i="18" s="1"/>
  <c r="A53" i="18"/>
  <c r="C53" i="18" s="1"/>
  <c r="A54" i="18"/>
  <c r="C54" i="18" s="1"/>
  <c r="A55" i="18"/>
  <c r="C55" i="18" s="1"/>
  <c r="A56" i="18"/>
  <c r="C56" i="18" s="1"/>
  <c r="A57" i="18"/>
  <c r="C57" i="18" s="1"/>
  <c r="A58" i="18"/>
  <c r="C58" i="18" s="1"/>
  <c r="A59" i="18"/>
  <c r="C59" i="18" s="1"/>
  <c r="A60" i="18"/>
  <c r="C60" i="18" s="1"/>
  <c r="A61" i="18"/>
  <c r="C61" i="18" s="1"/>
  <c r="A62" i="18"/>
  <c r="C62" i="18" s="1"/>
  <c r="A63" i="18"/>
  <c r="C63" i="18" s="1"/>
  <c r="A64" i="18"/>
  <c r="C64" i="18" s="1"/>
  <c r="A65" i="18"/>
  <c r="C65" i="18" s="1"/>
  <c r="A66" i="18"/>
  <c r="C66" i="18" s="1"/>
  <c r="A67" i="18"/>
  <c r="C67" i="18" s="1"/>
  <c r="A68" i="18"/>
  <c r="C68" i="18" s="1"/>
  <c r="A69" i="18"/>
  <c r="C69" i="18" s="1"/>
  <c r="A70" i="18"/>
  <c r="C70" i="18" s="1"/>
  <c r="A71" i="18"/>
  <c r="C71" i="18" s="1"/>
  <c r="A72" i="18"/>
  <c r="C72" i="18" s="1"/>
  <c r="A73" i="18"/>
  <c r="C73" i="18" s="1"/>
  <c r="A74" i="18"/>
  <c r="C74" i="18" s="1"/>
  <c r="A75" i="18"/>
  <c r="C75" i="18" s="1"/>
  <c r="A76" i="18"/>
  <c r="C76" i="18" s="1"/>
  <c r="A77" i="18"/>
  <c r="C77" i="18" s="1"/>
  <c r="A78" i="18"/>
  <c r="C78" i="18" s="1"/>
  <c r="E63" i="1"/>
  <c r="E49" i="1"/>
  <c r="I23" i="16" l="1"/>
  <c r="J23" i="16" s="1"/>
  <c r="I20" i="16"/>
  <c r="J20" i="16" s="1"/>
  <c r="I22" i="16"/>
  <c r="J22" i="16" s="1"/>
  <c r="I21" i="16"/>
  <c r="J21" i="16" s="1"/>
  <c r="I24" i="16"/>
  <c r="J24" i="16" s="1"/>
  <c r="Y48" i="1"/>
  <c r="BC49" i="1"/>
  <c r="AZ49" i="1"/>
  <c r="BD49" i="1"/>
  <c r="BA49" i="1"/>
  <c r="AY49" i="1"/>
  <c r="BB49" i="1"/>
  <c r="BA63" i="1"/>
  <c r="AY63" i="1"/>
  <c r="BB63" i="1"/>
  <c r="BC63" i="1"/>
  <c r="AZ63" i="1"/>
  <c r="BD63" i="1"/>
  <c r="D67" i="10"/>
  <c r="AT63" i="1"/>
  <c r="AP63" i="1"/>
  <c r="AS63" i="1"/>
  <c r="AR63" i="1"/>
  <c r="AQ63" i="1"/>
  <c r="AP49" i="1"/>
  <c r="AT49" i="1"/>
  <c r="AS49" i="1"/>
  <c r="AR49" i="1"/>
  <c r="AQ49" i="1"/>
  <c r="E48" i="1"/>
  <c r="D53" i="10"/>
  <c r="F41" i="13"/>
  <c r="F37" i="13"/>
  <c r="F33" i="13"/>
  <c r="F29" i="13"/>
  <c r="F25" i="13"/>
  <c r="F21" i="13"/>
  <c r="M21" i="13" s="1"/>
  <c r="F17" i="13"/>
  <c r="J17" i="13" s="1"/>
  <c r="F13" i="13"/>
  <c r="E66" i="10"/>
  <c r="B66" i="10"/>
  <c r="C66" i="10"/>
  <c r="E56" i="10"/>
  <c r="B56" i="10"/>
  <c r="C56" i="10"/>
  <c r="E53" i="10"/>
  <c r="B53" i="10"/>
  <c r="C53" i="10"/>
  <c r="N48" i="1"/>
  <c r="N49" i="1"/>
  <c r="B22" i="10"/>
  <c r="C22" i="10"/>
  <c r="B23" i="10"/>
  <c r="C23" i="10"/>
  <c r="B24" i="10"/>
  <c r="C24" i="10"/>
  <c r="B25" i="10"/>
  <c r="C25" i="10"/>
  <c r="B26" i="10"/>
  <c r="C26" i="10"/>
  <c r="B27" i="10"/>
  <c r="C27" i="10"/>
  <c r="E28" i="10"/>
  <c r="B28" i="10"/>
  <c r="C28" i="10"/>
  <c r="E29" i="10"/>
  <c r="B29" i="10"/>
  <c r="C29" i="10"/>
  <c r="E30" i="10"/>
  <c r="B30" i="10"/>
  <c r="C30" i="10"/>
  <c r="B31" i="10"/>
  <c r="C31" i="10"/>
  <c r="B32" i="10"/>
  <c r="C32" i="10"/>
  <c r="E33" i="10"/>
  <c r="B33" i="10"/>
  <c r="C33" i="10"/>
  <c r="E34" i="10"/>
  <c r="B34" i="10"/>
  <c r="C34" i="10"/>
  <c r="E35" i="10"/>
  <c r="B35" i="10"/>
  <c r="C35" i="10"/>
  <c r="E36" i="10"/>
  <c r="B36" i="10"/>
  <c r="C36" i="10"/>
  <c r="E37" i="10"/>
  <c r="B37" i="10"/>
  <c r="C37" i="10"/>
  <c r="B38" i="10"/>
  <c r="C38" i="10"/>
  <c r="E39" i="10"/>
  <c r="B39" i="10"/>
  <c r="C39" i="10"/>
  <c r="E40" i="10"/>
  <c r="B40" i="10"/>
  <c r="C40" i="10"/>
  <c r="E41" i="10"/>
  <c r="B41" i="10"/>
  <c r="C41" i="10"/>
  <c r="E62" i="1"/>
  <c r="E59" i="1"/>
  <c r="T49" i="1"/>
  <c r="Q49" i="1"/>
  <c r="H49" i="1"/>
  <c r="G21" i="9"/>
  <c r="H21" i="9"/>
  <c r="J36" i="16" l="1"/>
  <c r="J32" i="16"/>
  <c r="J34" i="16"/>
  <c r="BA59" i="1"/>
  <c r="AY59" i="1"/>
  <c r="BB59" i="1"/>
  <c r="BC59" i="1"/>
  <c r="AZ59" i="1"/>
  <c r="BD59" i="1"/>
  <c r="BB62" i="1"/>
  <c r="BC62" i="1"/>
  <c r="AZ62" i="1"/>
  <c r="BD62" i="1"/>
  <c r="BA62" i="1"/>
  <c r="AY62" i="1"/>
  <c r="AZ48" i="1"/>
  <c r="BD48" i="1"/>
  <c r="BA48" i="1"/>
  <c r="AY48" i="1"/>
  <c r="AY12" i="1" s="1"/>
  <c r="BB48" i="1"/>
  <c r="BC48" i="1"/>
  <c r="D63" i="10"/>
  <c r="AR59" i="1"/>
  <c r="AP59" i="1"/>
  <c r="AS59" i="1"/>
  <c r="AQ59" i="1"/>
  <c r="AT59" i="1"/>
  <c r="AO63" i="1"/>
  <c r="D66" i="10"/>
  <c r="AS62" i="1"/>
  <c r="AQ62" i="1"/>
  <c r="AP62" i="1"/>
  <c r="AR62" i="1"/>
  <c r="AT62" i="1"/>
  <c r="AT48" i="1"/>
  <c r="AS48" i="1"/>
  <c r="AR48" i="1"/>
  <c r="AQ48" i="1"/>
  <c r="AP48" i="1"/>
  <c r="AO49" i="1"/>
  <c r="D52" i="10"/>
  <c r="J25" i="13"/>
  <c r="T25" i="13"/>
  <c r="Q25" i="13"/>
  <c r="M13" i="13"/>
  <c r="Q13" i="13"/>
  <c r="T13" i="13"/>
  <c r="T29" i="13"/>
  <c r="Q29" i="13"/>
  <c r="T17" i="13"/>
  <c r="Q17" i="13"/>
  <c r="T33" i="13"/>
  <c r="Q33" i="13"/>
  <c r="J29" i="13"/>
  <c r="M33" i="13"/>
  <c r="J21" i="13"/>
  <c r="T21" i="13"/>
  <c r="Q21" i="13"/>
  <c r="J37" i="13"/>
  <c r="T37" i="13"/>
  <c r="Q37" i="13"/>
  <c r="J33" i="13"/>
  <c r="M37" i="13"/>
  <c r="J41" i="13"/>
  <c r="T41" i="13"/>
  <c r="Q41" i="13"/>
  <c r="M17" i="13"/>
  <c r="M25" i="13"/>
  <c r="M41" i="13"/>
  <c r="M29" i="13"/>
  <c r="J13" i="13"/>
  <c r="K49" i="1"/>
  <c r="H37" i="1"/>
  <c r="BB12" i="1" l="1"/>
  <c r="BA12" i="1"/>
  <c r="BC12" i="1"/>
  <c r="AO62" i="1"/>
  <c r="AO59" i="1"/>
  <c r="AO48" i="1"/>
  <c r="M45" i="13"/>
  <c r="Q45" i="13"/>
  <c r="T45" i="13"/>
  <c r="J50" i="13" s="1"/>
  <c r="Q37" i="1"/>
  <c r="T37" i="1"/>
  <c r="N37" i="1"/>
  <c r="K37" i="1"/>
  <c r="T103" i="1"/>
  <c r="T102" i="1"/>
  <c r="T101" i="1"/>
  <c r="T100" i="1"/>
  <c r="T99" i="1"/>
  <c r="T96" i="1"/>
  <c r="T95" i="1"/>
  <c r="T94" i="1"/>
  <c r="T93" i="1"/>
  <c r="T92" i="1"/>
  <c r="T91" i="1"/>
  <c r="T90" i="1"/>
  <c r="T89" i="1"/>
  <c r="T88" i="1"/>
  <c r="T87" i="1"/>
  <c r="T86" i="1"/>
  <c r="T85" i="1"/>
  <c r="T84" i="1"/>
  <c r="T83" i="1"/>
  <c r="T82" i="1"/>
  <c r="T81" i="1"/>
  <c r="T80" i="1"/>
  <c r="T79" i="1"/>
  <c r="T78" i="1"/>
  <c r="T75" i="1"/>
  <c r="T74" i="1"/>
  <c r="T73" i="1"/>
  <c r="T72" i="1"/>
  <c r="T71" i="1"/>
  <c r="T70" i="1"/>
  <c r="T69" i="1"/>
  <c r="T68" i="1"/>
  <c r="T67" i="1"/>
  <c r="T64" i="1"/>
  <c r="T63" i="1"/>
  <c r="T62" i="1"/>
  <c r="T61" i="1"/>
  <c r="T60" i="1"/>
  <c r="T59" i="1"/>
  <c r="T58" i="1"/>
  <c r="T57" i="1"/>
  <c r="T56" i="1"/>
  <c r="T55" i="1"/>
  <c r="T54" i="1"/>
  <c r="T53" i="1"/>
  <c r="T52" i="1"/>
  <c r="T51" i="1"/>
  <c r="T50" i="1"/>
  <c r="T48" i="1"/>
  <c r="T45" i="1"/>
  <c r="T44" i="1"/>
  <c r="T43" i="1"/>
  <c r="T42" i="1"/>
  <c r="T41" i="1"/>
  <c r="T40" i="1"/>
  <c r="T36" i="1"/>
  <c r="T35" i="1"/>
  <c r="T34" i="1"/>
  <c r="T33" i="1"/>
  <c r="T32" i="1"/>
  <c r="T31" i="1"/>
  <c r="T30" i="1"/>
  <c r="T29" i="1"/>
  <c r="T28" i="1"/>
  <c r="T27" i="1"/>
  <c r="T26" i="1"/>
  <c r="T25" i="1"/>
  <c r="T24" i="1"/>
  <c r="T23" i="1"/>
  <c r="T22" i="1"/>
  <c r="T21" i="1"/>
  <c r="T20" i="1"/>
  <c r="T19" i="1"/>
  <c r="T18" i="1"/>
  <c r="T17" i="1"/>
  <c r="Q103" i="1"/>
  <c r="Q102" i="1"/>
  <c r="Q101" i="1"/>
  <c r="Q100" i="1"/>
  <c r="Q99" i="1"/>
  <c r="Q96" i="1"/>
  <c r="Q95" i="1"/>
  <c r="Q94" i="1"/>
  <c r="Q93" i="1"/>
  <c r="Q92" i="1"/>
  <c r="Q91" i="1"/>
  <c r="Q90" i="1"/>
  <c r="Q89" i="1"/>
  <c r="Q88" i="1"/>
  <c r="Q87" i="1"/>
  <c r="Q86" i="1"/>
  <c r="Q85" i="1"/>
  <c r="Q84" i="1"/>
  <c r="Q83" i="1"/>
  <c r="Q82" i="1"/>
  <c r="Q81" i="1"/>
  <c r="Q80" i="1"/>
  <c r="Q79" i="1"/>
  <c r="Q78" i="1"/>
  <c r="Q75" i="1"/>
  <c r="Q74" i="1"/>
  <c r="Q73" i="1"/>
  <c r="Q72" i="1"/>
  <c r="Q71" i="1"/>
  <c r="Q70" i="1"/>
  <c r="Q69" i="1"/>
  <c r="Q68" i="1"/>
  <c r="Q67" i="1"/>
  <c r="Q64" i="1"/>
  <c r="Q63" i="1"/>
  <c r="Q62" i="1"/>
  <c r="Q61" i="1"/>
  <c r="Q60" i="1"/>
  <c r="Q59" i="1"/>
  <c r="Q58" i="1"/>
  <c r="Q57" i="1"/>
  <c r="Q56" i="1"/>
  <c r="Q55" i="1"/>
  <c r="Q54" i="1"/>
  <c r="Q53" i="1"/>
  <c r="Q52" i="1"/>
  <c r="Q51" i="1"/>
  <c r="Q50" i="1"/>
  <c r="Q48" i="1"/>
  <c r="Q45" i="1"/>
  <c r="Q44" i="1"/>
  <c r="Q43" i="1"/>
  <c r="Q42" i="1"/>
  <c r="Q41" i="1"/>
  <c r="Q40" i="1"/>
  <c r="Q36" i="1"/>
  <c r="Q35" i="1"/>
  <c r="Q34" i="1"/>
  <c r="Q33" i="1"/>
  <c r="Q32" i="1"/>
  <c r="Q31" i="1"/>
  <c r="Q30" i="1"/>
  <c r="Q29" i="1"/>
  <c r="Q28" i="1"/>
  <c r="Q27" i="1"/>
  <c r="Q26" i="1"/>
  <c r="Q25" i="1"/>
  <c r="Q24" i="1"/>
  <c r="Q23" i="1"/>
  <c r="Q22" i="1"/>
  <c r="Q21" i="1"/>
  <c r="Q20" i="1"/>
  <c r="Q19" i="1"/>
  <c r="Q18" i="1"/>
  <c r="Q17" i="1"/>
  <c r="N103" i="1"/>
  <c r="N102" i="1"/>
  <c r="N101" i="1"/>
  <c r="N100" i="1"/>
  <c r="N99" i="1"/>
  <c r="N96" i="1"/>
  <c r="N95" i="1"/>
  <c r="N94" i="1"/>
  <c r="N93" i="1"/>
  <c r="N92" i="1"/>
  <c r="N91" i="1"/>
  <c r="N90" i="1"/>
  <c r="N89" i="1"/>
  <c r="N88" i="1"/>
  <c r="N87" i="1"/>
  <c r="N86" i="1"/>
  <c r="N85" i="1"/>
  <c r="N84" i="1"/>
  <c r="N83" i="1"/>
  <c r="N82" i="1"/>
  <c r="N81" i="1"/>
  <c r="N80" i="1"/>
  <c r="N79" i="1"/>
  <c r="N78" i="1"/>
  <c r="N75" i="1"/>
  <c r="N74" i="1"/>
  <c r="N73" i="1"/>
  <c r="N72" i="1"/>
  <c r="N71" i="1"/>
  <c r="N70" i="1"/>
  <c r="N69" i="1"/>
  <c r="N68" i="1"/>
  <c r="N67" i="1"/>
  <c r="N64" i="1"/>
  <c r="N63" i="1"/>
  <c r="N62" i="1"/>
  <c r="N61" i="1"/>
  <c r="N60" i="1"/>
  <c r="N59" i="1"/>
  <c r="N58" i="1"/>
  <c r="N57" i="1"/>
  <c r="N56" i="1"/>
  <c r="N55" i="1"/>
  <c r="N54" i="1"/>
  <c r="N53" i="1"/>
  <c r="N52" i="1"/>
  <c r="N51" i="1"/>
  <c r="N50" i="1"/>
  <c r="N45" i="1"/>
  <c r="N44" i="1"/>
  <c r="N43" i="1"/>
  <c r="N42" i="1"/>
  <c r="N41" i="1"/>
  <c r="N40" i="1"/>
  <c r="N36" i="1"/>
  <c r="N35" i="1"/>
  <c r="N34" i="1"/>
  <c r="N33" i="1"/>
  <c r="N32" i="1"/>
  <c r="N31" i="1"/>
  <c r="N30" i="1"/>
  <c r="N29" i="1"/>
  <c r="N28" i="1"/>
  <c r="N27" i="1"/>
  <c r="N26" i="1"/>
  <c r="N25" i="1"/>
  <c r="N24" i="1"/>
  <c r="N23" i="1"/>
  <c r="N22" i="1"/>
  <c r="N21" i="1"/>
  <c r="N20" i="1"/>
  <c r="N19" i="1"/>
  <c r="N17" i="1"/>
  <c r="K103" i="1"/>
  <c r="K102" i="1"/>
  <c r="K101" i="1"/>
  <c r="K100" i="1"/>
  <c r="K99" i="1"/>
  <c r="K96" i="1"/>
  <c r="K95" i="1"/>
  <c r="K94" i="1"/>
  <c r="K93" i="1"/>
  <c r="K92" i="1"/>
  <c r="K91" i="1"/>
  <c r="K90" i="1"/>
  <c r="K89" i="1"/>
  <c r="K88" i="1"/>
  <c r="K87" i="1"/>
  <c r="K86" i="1"/>
  <c r="K85" i="1"/>
  <c r="K84" i="1"/>
  <c r="K83" i="1"/>
  <c r="K82" i="1"/>
  <c r="K81" i="1"/>
  <c r="K80" i="1"/>
  <c r="K79" i="1"/>
  <c r="K78" i="1"/>
  <c r="K75" i="1"/>
  <c r="K74" i="1"/>
  <c r="K73" i="1"/>
  <c r="K72" i="1"/>
  <c r="K71" i="1"/>
  <c r="K70" i="1"/>
  <c r="K69" i="1"/>
  <c r="K68" i="1"/>
  <c r="K67" i="1"/>
  <c r="K64" i="1"/>
  <c r="K63" i="1"/>
  <c r="K62" i="1"/>
  <c r="K61" i="1"/>
  <c r="K60" i="1"/>
  <c r="K59" i="1"/>
  <c r="K58" i="1"/>
  <c r="K57" i="1"/>
  <c r="K56" i="1"/>
  <c r="K55" i="1"/>
  <c r="K54" i="1"/>
  <c r="K53" i="1"/>
  <c r="K52" i="1"/>
  <c r="K51" i="1"/>
  <c r="K50" i="1"/>
  <c r="K48" i="1"/>
  <c r="K45" i="1"/>
  <c r="K44" i="1"/>
  <c r="K43" i="1"/>
  <c r="K42" i="1"/>
  <c r="K41" i="1"/>
  <c r="K40" i="1"/>
  <c r="K36" i="1"/>
  <c r="K35" i="1"/>
  <c r="K34" i="1"/>
  <c r="K33" i="1"/>
  <c r="K32" i="1"/>
  <c r="K31" i="1"/>
  <c r="K30" i="1"/>
  <c r="K29" i="1"/>
  <c r="K28" i="1"/>
  <c r="K27" i="1"/>
  <c r="K26" i="1"/>
  <c r="K25" i="1"/>
  <c r="K24" i="1"/>
  <c r="K23" i="1"/>
  <c r="K22" i="1"/>
  <c r="K21" i="1"/>
  <c r="K20" i="1"/>
  <c r="K19" i="1"/>
  <c r="K18" i="1"/>
  <c r="K17" i="1"/>
  <c r="H102" i="1"/>
  <c r="H103" i="1"/>
  <c r="H101" i="1"/>
  <c r="H100" i="1"/>
  <c r="H99" i="1"/>
  <c r="H87" i="1"/>
  <c r="H88" i="1"/>
  <c r="H89" i="1"/>
  <c r="H90" i="1"/>
  <c r="H91" i="1"/>
  <c r="H92" i="1"/>
  <c r="H93" i="1"/>
  <c r="H94" i="1"/>
  <c r="H95" i="1"/>
  <c r="H96" i="1"/>
  <c r="H86" i="1"/>
  <c r="H85" i="1"/>
  <c r="H84" i="1"/>
  <c r="H83" i="1"/>
  <c r="H82" i="1"/>
  <c r="H81" i="1"/>
  <c r="H80" i="1"/>
  <c r="H79" i="1"/>
  <c r="H78" i="1"/>
  <c r="H70" i="1"/>
  <c r="H71" i="1"/>
  <c r="H72" i="1"/>
  <c r="H73" i="1"/>
  <c r="H74" i="1"/>
  <c r="H75" i="1"/>
  <c r="H69" i="1"/>
  <c r="H68" i="1"/>
  <c r="H67" i="1"/>
  <c r="H54" i="1"/>
  <c r="H55" i="1"/>
  <c r="H56" i="1"/>
  <c r="H57" i="1"/>
  <c r="H58" i="1"/>
  <c r="H59" i="1"/>
  <c r="H60" i="1"/>
  <c r="H61" i="1"/>
  <c r="H62" i="1"/>
  <c r="H63" i="1"/>
  <c r="H64" i="1"/>
  <c r="H53" i="1"/>
  <c r="H52" i="1"/>
  <c r="H51" i="1"/>
  <c r="H50" i="1"/>
  <c r="H48" i="1"/>
  <c r="H43" i="1"/>
  <c r="H44" i="1"/>
  <c r="H45" i="1"/>
  <c r="H42" i="1"/>
  <c r="H41" i="1"/>
  <c r="H40" i="1"/>
  <c r="H18" i="1"/>
  <c r="H19" i="1"/>
  <c r="H20" i="1"/>
  <c r="H21" i="1"/>
  <c r="H22" i="1"/>
  <c r="H23" i="1"/>
  <c r="H24" i="1"/>
  <c r="H25" i="1"/>
  <c r="H26" i="1"/>
  <c r="H27" i="1"/>
  <c r="H28" i="1"/>
  <c r="H29" i="1"/>
  <c r="H30" i="1"/>
  <c r="H31" i="1"/>
  <c r="H32" i="1"/>
  <c r="H33" i="1"/>
  <c r="H34" i="1"/>
  <c r="H35" i="1"/>
  <c r="H36" i="1"/>
  <c r="H17" i="1"/>
  <c r="B5" i="1"/>
  <c r="E107" i="10"/>
  <c r="E106" i="10"/>
  <c r="E105" i="10"/>
  <c r="E104" i="10"/>
  <c r="E103" i="10"/>
  <c r="E100" i="10"/>
  <c r="E99" i="10"/>
  <c r="E98" i="10"/>
  <c r="E97" i="10"/>
  <c r="E96" i="10"/>
  <c r="E95" i="10"/>
  <c r="E94" i="10"/>
  <c r="E93" i="10"/>
  <c r="E92" i="10"/>
  <c r="E91" i="10"/>
  <c r="E90" i="10"/>
  <c r="E89" i="10"/>
  <c r="E88" i="10"/>
  <c r="E87" i="10"/>
  <c r="E86" i="10"/>
  <c r="E85" i="10"/>
  <c r="E84" i="10"/>
  <c r="E83" i="10"/>
  <c r="E82" i="10"/>
  <c r="E79" i="10"/>
  <c r="E78" i="10"/>
  <c r="E74" i="10"/>
  <c r="E73" i="10"/>
  <c r="E72" i="10"/>
  <c r="E71" i="10"/>
  <c r="E68" i="10"/>
  <c r="E67" i="10"/>
  <c r="E65" i="10"/>
  <c r="E64" i="10"/>
  <c r="E63" i="10"/>
  <c r="E62" i="10"/>
  <c r="E61" i="10"/>
  <c r="E60" i="10"/>
  <c r="E59" i="10"/>
  <c r="E58" i="10"/>
  <c r="E57" i="10"/>
  <c r="E55" i="10"/>
  <c r="E54" i="10"/>
  <c r="E52" i="10"/>
  <c r="E48" i="10"/>
  <c r="E47" i="10"/>
  <c r="E46" i="10"/>
  <c r="E45" i="10"/>
  <c r="E44" i="10"/>
  <c r="E21" i="10"/>
  <c r="C58" i="10"/>
  <c r="B58" i="10"/>
  <c r="M97" i="1"/>
  <c r="L97" i="1"/>
  <c r="M76" i="1"/>
  <c r="L76" i="1"/>
  <c r="M65" i="1"/>
  <c r="L65" i="1"/>
  <c r="M46" i="1"/>
  <c r="L46" i="1"/>
  <c r="M38" i="1"/>
  <c r="L38" i="1"/>
  <c r="M15" i="1"/>
  <c r="L15" i="1"/>
  <c r="S97" i="1"/>
  <c r="R97" i="1"/>
  <c r="S76" i="1"/>
  <c r="R76" i="1"/>
  <c r="S65" i="1"/>
  <c r="R65" i="1"/>
  <c r="S46" i="1"/>
  <c r="R46" i="1"/>
  <c r="BD46" i="1" s="1"/>
  <c r="S38" i="1"/>
  <c r="R38" i="1"/>
  <c r="BD38" i="1" s="1"/>
  <c r="S15" i="1"/>
  <c r="R15" i="1"/>
  <c r="P97" i="1"/>
  <c r="O97" i="1"/>
  <c r="P76" i="1"/>
  <c r="O76" i="1"/>
  <c r="P65" i="1"/>
  <c r="O65" i="1"/>
  <c r="P46" i="1"/>
  <c r="O46" i="1"/>
  <c r="P38" i="1"/>
  <c r="O38" i="1"/>
  <c r="P15" i="1"/>
  <c r="O15" i="1"/>
  <c r="J97" i="1"/>
  <c r="I97" i="1"/>
  <c r="J76" i="1"/>
  <c r="I76" i="1"/>
  <c r="J65" i="1"/>
  <c r="I65" i="1"/>
  <c r="J46" i="1"/>
  <c r="I46" i="1"/>
  <c r="J38" i="1"/>
  <c r="I38" i="1"/>
  <c r="J15" i="1"/>
  <c r="I15" i="1"/>
  <c r="E32" i="10"/>
  <c r="E38" i="10"/>
  <c r="B54" i="10"/>
  <c r="C54" i="10"/>
  <c r="B55" i="10"/>
  <c r="C55" i="10"/>
  <c r="B57" i="10"/>
  <c r="C57" i="10"/>
  <c r="B59" i="10"/>
  <c r="C59" i="10"/>
  <c r="B60" i="10"/>
  <c r="C60" i="10"/>
  <c r="B61" i="10"/>
  <c r="C61" i="10"/>
  <c r="B62" i="10"/>
  <c r="C62" i="10"/>
  <c r="B63" i="10"/>
  <c r="C63" i="10"/>
  <c r="B64" i="10"/>
  <c r="C64" i="10"/>
  <c r="B65" i="10"/>
  <c r="C65" i="10"/>
  <c r="B67" i="10"/>
  <c r="C67" i="10"/>
  <c r="B68" i="10"/>
  <c r="C68" i="10"/>
  <c r="E31" i="10"/>
  <c r="E22" i="10"/>
  <c r="E23" i="10"/>
  <c r="E24" i="10"/>
  <c r="E25" i="10"/>
  <c r="E26" i="10"/>
  <c r="E27" i="10"/>
  <c r="B10" i="10"/>
  <c r="B11" i="10"/>
  <c r="B12" i="10"/>
  <c r="B13" i="10"/>
  <c r="B14" i="10"/>
  <c r="B17" i="10"/>
  <c r="B9" i="10"/>
  <c r="K45" i="13"/>
  <c r="J53" i="13" s="1"/>
  <c r="J45" i="13"/>
  <c r="G45" i="13"/>
  <c r="J52" i="13" s="1"/>
  <c r="F45" i="13"/>
  <c r="D44" i="20" s="1"/>
  <c r="C18" i="19" s="1"/>
  <c r="E45" i="13"/>
  <c r="D45" i="13"/>
  <c r="C45" i="13"/>
  <c r="B104" i="10"/>
  <c r="B105" i="10"/>
  <c r="B106" i="10"/>
  <c r="B107" i="10"/>
  <c r="B103" i="10"/>
  <c r="B83" i="10"/>
  <c r="B84" i="10"/>
  <c r="B85" i="10"/>
  <c r="B86" i="10"/>
  <c r="B87" i="10"/>
  <c r="B88" i="10"/>
  <c r="B89" i="10"/>
  <c r="B90" i="10"/>
  <c r="B91" i="10"/>
  <c r="B92" i="10"/>
  <c r="B93" i="10"/>
  <c r="B94" i="10"/>
  <c r="B95" i="10"/>
  <c r="B96" i="10"/>
  <c r="B97" i="10"/>
  <c r="B98" i="10"/>
  <c r="B99" i="10"/>
  <c r="B100" i="10"/>
  <c r="B82" i="10"/>
  <c r="B72" i="10"/>
  <c r="B73" i="10"/>
  <c r="B74" i="10"/>
  <c r="B75" i="10"/>
  <c r="B76" i="10"/>
  <c r="B77" i="10"/>
  <c r="B78" i="10"/>
  <c r="B79" i="10"/>
  <c r="B71" i="10"/>
  <c r="B52" i="10"/>
  <c r="B45" i="10"/>
  <c r="B46" i="10"/>
  <c r="B47" i="10"/>
  <c r="B48" i="10"/>
  <c r="B49" i="10"/>
  <c r="B44" i="10"/>
  <c r="B21" i="10"/>
  <c r="C45" i="10"/>
  <c r="C44" i="10"/>
  <c r="G65" i="1"/>
  <c r="F15" i="1"/>
  <c r="F76" i="1"/>
  <c r="AZ76" i="1" s="1"/>
  <c r="F38" i="1"/>
  <c r="AZ38" i="1" s="1"/>
  <c r="F46" i="1"/>
  <c r="AZ46" i="1" s="1"/>
  <c r="F65" i="1"/>
  <c r="F97" i="1"/>
  <c r="C107" i="10"/>
  <c r="C106" i="10"/>
  <c r="C105" i="10"/>
  <c r="C104" i="10"/>
  <c r="C103" i="10"/>
  <c r="C100" i="10"/>
  <c r="C99" i="10"/>
  <c r="C98" i="10"/>
  <c r="C97" i="10"/>
  <c r="C96" i="10"/>
  <c r="C95" i="10"/>
  <c r="C94" i="10"/>
  <c r="C93" i="10"/>
  <c r="C92" i="10"/>
  <c r="C91" i="10"/>
  <c r="C90" i="10"/>
  <c r="C89" i="10"/>
  <c r="C88" i="10"/>
  <c r="C87" i="10"/>
  <c r="C86" i="10"/>
  <c r="C85" i="10"/>
  <c r="C84" i="10"/>
  <c r="C83" i="10"/>
  <c r="C82" i="10"/>
  <c r="C78" i="10"/>
  <c r="C79" i="10"/>
  <c r="C74" i="10"/>
  <c r="C73" i="10"/>
  <c r="C72" i="10"/>
  <c r="C71" i="10"/>
  <c r="C52" i="10"/>
  <c r="C49" i="10"/>
  <c r="C48" i="10"/>
  <c r="C47" i="10"/>
  <c r="C46" i="10"/>
  <c r="C21" i="10"/>
  <c r="L63" i="9"/>
  <c r="B63" i="9"/>
  <c r="E21" i="9"/>
  <c r="I21" i="9" s="1"/>
  <c r="E22" i="9"/>
  <c r="G22" i="9"/>
  <c r="H22" i="9"/>
  <c r="E23" i="9"/>
  <c r="G23" i="9"/>
  <c r="H23" i="9"/>
  <c r="E24" i="9"/>
  <c r="G24" i="9"/>
  <c r="H24" i="9"/>
  <c r="E25" i="9"/>
  <c r="G25" i="9"/>
  <c r="H25" i="9"/>
  <c r="E26" i="9"/>
  <c r="G26" i="9"/>
  <c r="H26" i="9"/>
  <c r="E27" i="9"/>
  <c r="G27" i="9"/>
  <c r="H27" i="9"/>
  <c r="E28" i="9"/>
  <c r="G28" i="9"/>
  <c r="H28" i="9"/>
  <c r="E29" i="9"/>
  <c r="G29" i="9"/>
  <c r="H29" i="9"/>
  <c r="E30" i="9"/>
  <c r="G30" i="9"/>
  <c r="H30" i="9"/>
  <c r="E31" i="9"/>
  <c r="G31" i="9"/>
  <c r="H31" i="9"/>
  <c r="E32" i="9"/>
  <c r="G32" i="9"/>
  <c r="H32" i="9"/>
  <c r="E33" i="9"/>
  <c r="G33" i="9"/>
  <c r="H33" i="9"/>
  <c r="E34" i="9"/>
  <c r="G34" i="9"/>
  <c r="H34" i="9"/>
  <c r="E35" i="9"/>
  <c r="G35" i="9"/>
  <c r="H35" i="9"/>
  <c r="E36" i="9"/>
  <c r="G36" i="9"/>
  <c r="H36" i="9"/>
  <c r="E37" i="9"/>
  <c r="G37" i="9"/>
  <c r="H37" i="9"/>
  <c r="E38" i="9"/>
  <c r="G38" i="9"/>
  <c r="H38" i="9"/>
  <c r="E39" i="9"/>
  <c r="G39" i="9"/>
  <c r="H39" i="9"/>
  <c r="E40" i="9"/>
  <c r="G40" i="9"/>
  <c r="H40" i="9"/>
  <c r="E41" i="9"/>
  <c r="G41" i="9"/>
  <c r="H41" i="9"/>
  <c r="E42" i="9"/>
  <c r="G42" i="9"/>
  <c r="H42" i="9"/>
  <c r="E43" i="9"/>
  <c r="G43" i="9"/>
  <c r="H43" i="9"/>
  <c r="E44" i="9"/>
  <c r="G44" i="9"/>
  <c r="H44" i="9"/>
  <c r="E45" i="9"/>
  <c r="G45" i="9"/>
  <c r="H45" i="9"/>
  <c r="E46" i="9"/>
  <c r="G46" i="9"/>
  <c r="H46" i="9"/>
  <c r="E47" i="9"/>
  <c r="G47" i="9"/>
  <c r="H47" i="9"/>
  <c r="E48" i="9"/>
  <c r="G48" i="9"/>
  <c r="H48" i="9"/>
  <c r="E49" i="9"/>
  <c r="G49" i="9"/>
  <c r="H49" i="9"/>
  <c r="E50" i="9"/>
  <c r="G50" i="9"/>
  <c r="H50" i="9"/>
  <c r="E51" i="9"/>
  <c r="G51" i="9"/>
  <c r="H51" i="9"/>
  <c r="E52" i="9"/>
  <c r="G52" i="9"/>
  <c r="H52" i="9"/>
  <c r="E53" i="9"/>
  <c r="G53" i="9"/>
  <c r="H53" i="9"/>
  <c r="E54" i="9"/>
  <c r="G54" i="9"/>
  <c r="H54" i="9"/>
  <c r="E55" i="9"/>
  <c r="G55" i="9"/>
  <c r="H55" i="9"/>
  <c r="E56" i="9"/>
  <c r="G56" i="9"/>
  <c r="H56" i="9"/>
  <c r="E57" i="9"/>
  <c r="G57" i="9"/>
  <c r="H57" i="9"/>
  <c r="E58" i="9"/>
  <c r="G58" i="9"/>
  <c r="H58" i="9"/>
  <c r="E59" i="9"/>
  <c r="G59" i="9"/>
  <c r="H59" i="9"/>
  <c r="E60" i="9"/>
  <c r="G60" i="9"/>
  <c r="H60" i="9"/>
  <c r="E61" i="9"/>
  <c r="G61" i="9"/>
  <c r="H61" i="9"/>
  <c r="E62" i="9"/>
  <c r="G62" i="9"/>
  <c r="H62" i="9"/>
  <c r="G76" i="1"/>
  <c r="G97" i="1"/>
  <c r="G46" i="1"/>
  <c r="G38" i="1"/>
  <c r="G15" i="1"/>
  <c r="BD12" i="1" l="1"/>
  <c r="AZ12" i="1"/>
  <c r="E49" i="10"/>
  <c r="B6" i="1"/>
  <c r="J48" i="13"/>
  <c r="D46" i="20"/>
  <c r="C20" i="19" s="1"/>
  <c r="J51" i="13"/>
  <c r="D47" i="20"/>
  <c r="C21" i="19" s="1"/>
  <c r="J49" i="13"/>
  <c r="D45" i="20"/>
  <c r="C19" i="19" s="1"/>
  <c r="C22" i="19" s="1"/>
  <c r="I57" i="9"/>
  <c r="I33" i="9"/>
  <c r="I29" i="9"/>
  <c r="G52" i="13"/>
  <c r="H52" i="13" s="1"/>
  <c r="I53" i="9"/>
  <c r="I62" i="9"/>
  <c r="I58" i="9"/>
  <c r="I38" i="9"/>
  <c r="I34" i="9"/>
  <c r="G48" i="13"/>
  <c r="E46" i="20" s="1"/>
  <c r="G50" i="13"/>
  <c r="H50" i="13" s="1"/>
  <c r="G53" i="13"/>
  <c r="H53" i="13" s="1"/>
  <c r="G49" i="13"/>
  <c r="H49" i="13" s="1"/>
  <c r="I43" i="9"/>
  <c r="G51" i="13"/>
  <c r="I39" i="9"/>
  <c r="I35" i="9"/>
  <c r="I30" i="9"/>
  <c r="I25" i="9"/>
  <c r="K66" i="9"/>
  <c r="I24" i="9"/>
  <c r="I59" i="9"/>
  <c r="I44" i="9"/>
  <c r="I60" i="9"/>
  <c r="I55" i="9"/>
  <c r="I50" i="9"/>
  <c r="I46" i="9"/>
  <c r="I45" i="9"/>
  <c r="I41" i="9"/>
  <c r="I36" i="9"/>
  <c r="I31" i="9"/>
  <c r="I26" i="9"/>
  <c r="I22" i="9"/>
  <c r="I48" i="9"/>
  <c r="J48" i="9" s="1"/>
  <c r="K48" i="9" s="1"/>
  <c r="I54" i="9"/>
  <c r="I49" i="9"/>
  <c r="I40" i="9"/>
  <c r="I61" i="9"/>
  <c r="I56" i="9"/>
  <c r="I52" i="9"/>
  <c r="I51" i="9"/>
  <c r="I47" i="9"/>
  <c r="J42" i="9"/>
  <c r="K42" i="9" s="1"/>
  <c r="I42" i="9"/>
  <c r="I37" i="9"/>
  <c r="I32" i="9"/>
  <c r="I28" i="9"/>
  <c r="I27" i="9"/>
  <c r="I23" i="9"/>
  <c r="J21" i="9"/>
  <c r="K21" i="9" s="1"/>
  <c r="N46" i="1"/>
  <c r="H15" i="1"/>
  <c r="K46" i="1"/>
  <c r="Q76" i="1"/>
  <c r="H97" i="1"/>
  <c r="Q46" i="1"/>
  <c r="T46" i="1"/>
  <c r="K38" i="1"/>
  <c r="N38" i="1"/>
  <c r="T97" i="1"/>
  <c r="T65" i="1"/>
  <c r="T15" i="1"/>
  <c r="T38" i="1"/>
  <c r="T76" i="1"/>
  <c r="Q38" i="1"/>
  <c r="Q15" i="1"/>
  <c r="Q65" i="1"/>
  <c r="Q97" i="1"/>
  <c r="N97" i="1"/>
  <c r="N76" i="1"/>
  <c r="N15" i="1"/>
  <c r="N65" i="1"/>
  <c r="K97" i="1"/>
  <c r="K76" i="1"/>
  <c r="K15" i="1"/>
  <c r="K65" i="1"/>
  <c r="H76" i="1"/>
  <c r="H65" i="1"/>
  <c r="H46" i="1"/>
  <c r="H38" i="1"/>
  <c r="I106" i="1"/>
  <c r="R106" i="1"/>
  <c r="G106" i="1"/>
  <c r="G14" i="1" s="1"/>
  <c r="O106" i="1"/>
  <c r="F106" i="1"/>
  <c r="M106" i="1"/>
  <c r="M14" i="1" s="1"/>
  <c r="J106" i="1"/>
  <c r="J14" i="1" s="1"/>
  <c r="P106" i="1"/>
  <c r="P14" i="1" s="1"/>
  <c r="S106" i="1"/>
  <c r="S14" i="1" s="1"/>
  <c r="L106" i="1"/>
  <c r="A69" i="10"/>
  <c r="A80" i="10"/>
  <c r="A101" i="10"/>
  <c r="A50" i="10"/>
  <c r="A42" i="10"/>
  <c r="A19" i="10"/>
  <c r="AG11" i="1" l="1"/>
  <c r="A5" i="10"/>
  <c r="E45" i="20"/>
  <c r="H48" i="13"/>
  <c r="H51" i="13"/>
  <c r="E47" i="20"/>
  <c r="J60" i="9"/>
  <c r="K60" i="9" s="1"/>
  <c r="J36" i="9"/>
  <c r="K36" i="9" s="1"/>
  <c r="J57" i="9"/>
  <c r="K57" i="9" s="1"/>
  <c r="J54" i="9"/>
  <c r="K54" i="9" s="1"/>
  <c r="J51" i="9"/>
  <c r="K51" i="9" s="1"/>
  <c r="J30" i="9"/>
  <c r="K30" i="9" s="1"/>
  <c r="J24" i="9"/>
  <c r="K24" i="9" s="1"/>
  <c r="J33" i="9"/>
  <c r="K33" i="9" s="1"/>
  <c r="J39" i="9"/>
  <c r="K39" i="9" s="1"/>
  <c r="J45" i="9"/>
  <c r="K45" i="9" s="1"/>
  <c r="J27" i="9"/>
  <c r="K27" i="9" s="1"/>
  <c r="L14" i="1"/>
  <c r="B9" i="1"/>
  <c r="AF11" i="1" s="1"/>
  <c r="R14" i="1"/>
  <c r="B11" i="1"/>
  <c r="AH11" i="1" s="1"/>
  <c r="O14" i="1"/>
  <c r="B10" i="1"/>
  <c r="F14" i="1"/>
  <c r="B7" i="1"/>
  <c r="I14" i="1"/>
  <c r="B8" i="1"/>
  <c r="AE11" i="1" s="1"/>
  <c r="R11" i="1"/>
  <c r="I11" i="1"/>
  <c r="N106" i="1"/>
  <c r="N14" i="1" s="1"/>
  <c r="O11" i="1"/>
  <c r="L11" i="1"/>
  <c r="F11" i="1"/>
  <c r="Q106" i="1"/>
  <c r="Q14" i="1" s="1"/>
  <c r="T106" i="1"/>
  <c r="T14" i="1" s="1"/>
  <c r="K106" i="1"/>
  <c r="K14" i="1" s="1"/>
  <c r="H106" i="1"/>
  <c r="H14" i="1" s="1"/>
  <c r="A110" i="10"/>
  <c r="E5" i="10" s="1"/>
  <c r="D10" i="1" l="1"/>
  <c r="AE10" i="1" s="1"/>
  <c r="AD11" i="1"/>
  <c r="K63" i="9"/>
  <c r="K65" i="9" s="1"/>
  <c r="AD10" i="1" l="1"/>
  <c r="AF10" i="1"/>
  <c r="AH10" i="1"/>
  <c r="AG10" i="1"/>
  <c r="D11" i="1"/>
  <c r="AC10" i="1" l="1"/>
  <c r="D5" i="20" l="1"/>
  <c r="C4" i="19" s="1"/>
  <c r="D24" i="20" l="1"/>
  <c r="D21" i="20" l="1"/>
  <c r="D29" i="20" s="1"/>
  <c r="C9" i="19" l="1"/>
  <c r="D30" i="20"/>
  <c r="C12" i="19" s="1"/>
  <c r="D25" i="20"/>
  <c r="E54" i="20" l="1"/>
  <c r="E32" i="20" s="1"/>
  <c r="D54" i="20"/>
  <c r="C10" i="19"/>
  <c r="D32" i="20" l="1"/>
  <c r="D33" i="20" s="1"/>
  <c r="C11" i="19" s="1"/>
</calcChain>
</file>

<file path=xl/comments1.xml><?xml version="1.0" encoding="utf-8"?>
<comments xmlns="http://schemas.openxmlformats.org/spreadsheetml/2006/main">
  <authors>
    <author>abrophy</author>
    <author>Clark Denson</author>
  </authors>
  <commentList>
    <comment ref="D11" authorId="0" shapeId="0">
      <text>
        <r>
          <rPr>
            <sz val="9"/>
            <color indexed="81"/>
            <rFont val="Tahoma"/>
            <family val="2"/>
          </rPr>
          <t>Insert energy consumption and costs from  Proposed Design energy model</t>
        </r>
      </text>
    </comment>
    <comment ref="E11" authorId="1" shapeId="0">
      <text>
        <r>
          <rPr>
            <sz val="9"/>
            <color indexed="81"/>
            <rFont val="Tahoma"/>
            <family val="2"/>
          </rPr>
          <t>Insert energy consumption and costs from Baseline Design energy model</t>
        </r>
      </text>
    </comment>
  </commentList>
</comments>
</file>

<file path=xl/comments2.xml><?xml version="1.0" encoding="utf-8"?>
<comments xmlns="http://schemas.openxmlformats.org/spreadsheetml/2006/main">
  <authors>
    <author xml:space="preserve"> </author>
    <author>CRD</author>
    <author>jbarzel</author>
  </authors>
  <commentList>
    <comment ref="V2" authorId="0" shapeId="0">
      <text>
        <r>
          <rPr>
            <sz val="12"/>
            <color indexed="81"/>
            <rFont val="Tahoma"/>
            <family val="2"/>
          </rPr>
          <t>Enter the initials of the project team individuals who will be primarily responsible for signing off on credit compliance.</t>
        </r>
      </text>
    </comment>
    <comment ref="B3" authorId="1" shapeId="0">
      <text>
        <r>
          <rPr>
            <sz val="9"/>
            <color indexed="81"/>
            <rFont val="Tahoma"/>
            <family val="2"/>
          </rPr>
          <t>During each project phase, review the Yes, Maybe, and No credits and fill in a target point total to design towards.</t>
        </r>
      </text>
    </comment>
    <comment ref="F11" authorId="2" shapeId="0">
      <text>
        <r>
          <rPr>
            <b/>
            <sz val="9"/>
            <color indexed="81"/>
            <rFont val="Tahoma"/>
            <family val="2"/>
          </rPr>
          <t xml:space="preserve">A point allocation error will appear if more than the maximum points for a credit are claimed
</t>
        </r>
      </text>
    </comment>
    <comment ref="C16" authorId="1" shapeId="0">
      <text>
        <r>
          <rPr>
            <sz val="9"/>
            <color indexed="81"/>
            <rFont val="Tahoma"/>
            <family val="2"/>
          </rPr>
          <t>The Owner will select Yes/No depending on whether the credit is  applicable to the project scope.
Where "No" is selected, the row's text will turn gray.</t>
        </r>
      </text>
    </comment>
  </commentList>
</comments>
</file>

<file path=xl/comments3.xml><?xml version="1.0" encoding="utf-8"?>
<comments xmlns="http://schemas.openxmlformats.org/spreadsheetml/2006/main">
  <authors>
    <author xml:space="preserve"> </author>
  </authors>
  <commentList>
    <comment ref="E20" authorId="0" shapeId="0">
      <text>
        <r>
          <rPr>
            <sz val="8"/>
            <color indexed="81"/>
            <rFont val="Tahoma"/>
            <family val="2"/>
          </rPr>
          <t>Project Team Member initials will populate from the HPBr Checklist tab when toggled as "Yes" in Close-out phase.</t>
        </r>
      </text>
    </comment>
    <comment ref="E43" authorId="0" shapeId="0">
      <text>
        <r>
          <rPr>
            <sz val="8"/>
            <color indexed="81"/>
            <rFont val="Tahoma"/>
            <family val="2"/>
          </rPr>
          <t>Project Team Member initials will populate from the HPBr Checklist tab when toggled as "Yes" in Close-out phase.</t>
        </r>
      </text>
    </comment>
    <comment ref="E51" authorId="0" shapeId="0">
      <text>
        <r>
          <rPr>
            <sz val="8"/>
            <color indexed="81"/>
            <rFont val="Tahoma"/>
            <family val="2"/>
          </rPr>
          <t>Project Team Member initials will populate from the HPBr Checklist tab when toggled as "Yes" in Close-out phase.</t>
        </r>
      </text>
    </comment>
    <comment ref="E70" authorId="0" shapeId="0">
      <text>
        <r>
          <rPr>
            <sz val="8"/>
            <color indexed="81"/>
            <rFont val="Tahoma"/>
            <family val="2"/>
          </rPr>
          <t>Project Team Member initials will populate from the HPBr Checklist tab when toggled as "Yes" in Close-out phase.</t>
        </r>
      </text>
    </comment>
    <comment ref="E81" authorId="0" shapeId="0">
      <text>
        <r>
          <rPr>
            <sz val="8"/>
            <color indexed="81"/>
            <rFont val="Tahoma"/>
            <family val="2"/>
          </rPr>
          <t>Project Team Member initials will populate from the HPBr Checklist tab when toggled as "Yes" in Close-out phase.</t>
        </r>
      </text>
    </comment>
    <comment ref="E102" authorId="0" shapeId="0">
      <text>
        <r>
          <rPr>
            <sz val="8"/>
            <color indexed="81"/>
            <rFont val="Tahoma"/>
            <family val="2"/>
          </rPr>
          <t>Project Team Member initials will populate from the HPBr Checklist tab when toggled as "Yes" in Close-out phase.</t>
        </r>
      </text>
    </comment>
  </commentList>
</comments>
</file>

<file path=xl/comments4.xml><?xml version="1.0" encoding="utf-8"?>
<comments xmlns="http://schemas.openxmlformats.org/spreadsheetml/2006/main">
  <authors>
    <author>Clark Denson</author>
  </authors>
  <commentList>
    <comment ref="B1" authorId="0" shapeId="0">
      <text>
        <r>
          <rPr>
            <sz val="9"/>
            <color indexed="81"/>
            <rFont val="Tahoma"/>
            <family val="2"/>
          </rPr>
          <t>Per 2003 CBECS</t>
        </r>
      </text>
    </comment>
    <comment ref="C1" authorId="0" shapeId="0">
      <text>
        <r>
          <rPr>
            <sz val="9"/>
            <color indexed="81"/>
            <rFont val="Tahoma"/>
            <family val="2"/>
          </rPr>
          <t>Per 2003 CBECS data</t>
        </r>
      </text>
    </comment>
    <comment ref="E1" authorId="0" shapeId="0">
      <text>
        <r>
          <rPr>
            <sz val="9"/>
            <color indexed="81"/>
            <rFont val="Tahoma"/>
            <family val="2"/>
          </rPr>
          <t>Per USGBC LEED v4 BD+C Reference Guide</t>
        </r>
      </text>
    </comment>
    <comment ref="F1" authorId="0" shapeId="0">
      <text>
        <r>
          <rPr>
            <sz val="9"/>
            <color indexed="81"/>
            <rFont val="Tahoma"/>
            <family val="2"/>
          </rPr>
          <t>Per USGBC LEED v4 BD+C Reference Guide</t>
        </r>
      </text>
    </comment>
    <comment ref="G1" authorId="0" shapeId="0">
      <text>
        <r>
          <rPr>
            <sz val="9"/>
            <color indexed="81"/>
            <rFont val="Tahoma"/>
            <family val="2"/>
          </rPr>
          <t>Based on engineering judgement</t>
        </r>
      </text>
    </comment>
    <comment ref="H1" authorId="0" shapeId="0">
      <text>
        <r>
          <rPr>
            <sz val="9"/>
            <color indexed="81"/>
            <rFont val="Tahoma"/>
            <family val="2"/>
          </rPr>
          <t>% Transients based on engineering judgement</t>
        </r>
      </text>
    </comment>
    <comment ref="N22" authorId="0" shapeId="0">
      <text>
        <r>
          <rPr>
            <sz val="9"/>
            <color indexed="81"/>
            <rFont val="Tahoma"/>
            <family val="2"/>
          </rPr>
          <t>EPA calculates CHW Site-to-source ratio assuming 80% electric and 20% gas-fired chillers.  We used a similar approach to estimate average emissions factors (i.e. 80% electric at 52.7, 10% absorption at 73.89, 10% steam-fired chillers at 49.31), resulting in a weighted average of 54.48.</t>
        </r>
      </text>
    </comment>
    <comment ref="P38" authorId="0" shapeId="0">
      <text>
        <r>
          <rPr>
            <sz val="9"/>
            <color indexed="81"/>
            <rFont val="Tahoma"/>
            <family val="2"/>
          </rPr>
          <t>Assumes 50/50 male-female population breakdown</t>
        </r>
      </text>
    </comment>
    <comment ref="P39" authorId="0" shapeId="0">
      <text>
        <r>
          <rPr>
            <sz val="9"/>
            <color indexed="81"/>
            <rFont val="Tahoma"/>
            <family val="2"/>
          </rPr>
          <t>Assumes 50/50 male-female population breakdown</t>
        </r>
      </text>
    </comment>
    <comment ref="P41" authorId="0" shapeId="0">
      <text>
        <r>
          <rPr>
            <sz val="9"/>
            <color indexed="81"/>
            <rFont val="Tahoma"/>
            <family val="2"/>
          </rPr>
          <t>Assumes 50/50 male-female population breakdown</t>
        </r>
      </text>
    </comment>
  </commentList>
</comments>
</file>

<file path=xl/sharedStrings.xml><?xml version="1.0" encoding="utf-8"?>
<sst xmlns="http://schemas.openxmlformats.org/spreadsheetml/2006/main" count="1418" uniqueCount="811">
  <si>
    <t>Yes</t>
  </si>
  <si>
    <t>No</t>
  </si>
  <si>
    <t>Required</t>
  </si>
  <si>
    <t>Description</t>
  </si>
  <si>
    <t>-</t>
  </si>
  <si>
    <t>Recycling Storage and Collection</t>
  </si>
  <si>
    <t>Tobacco Smoke Control</t>
  </si>
  <si>
    <t>O</t>
  </si>
  <si>
    <t>Environmentally Accredited Design Team</t>
  </si>
  <si>
    <t>Daylight to Occupied spaces</t>
  </si>
  <si>
    <t>Views from Occupied spaces</t>
  </si>
  <si>
    <t>C</t>
  </si>
  <si>
    <t>Maybe</t>
  </si>
  <si>
    <t>Instructions</t>
  </si>
  <si>
    <t xml:space="preserve">Note: Orange-colored cells are to be completed by Design Team. </t>
  </si>
  <si>
    <t>Materials and Resources Calculator</t>
  </si>
  <si>
    <t>Materials Table</t>
  </si>
  <si>
    <t>Description of Material</t>
  </si>
  <si>
    <t>Total
Construction
Cost</t>
  </si>
  <si>
    <t>Labor Cost</t>
  </si>
  <si>
    <t>Equipment Cost</t>
  </si>
  <si>
    <r>
      <t xml:space="preserve">Material Cost
</t>
    </r>
    <r>
      <rPr>
        <sz val="9"/>
        <rFont val="Arial"/>
        <family val="2"/>
      </rPr>
      <t>(Less Labor &amp; Equipment)</t>
    </r>
  </si>
  <si>
    <t>Post-
Consumer</t>
  </si>
  <si>
    <t>Pre-Consumer</t>
  </si>
  <si>
    <t>Value</t>
  </si>
  <si>
    <t>[$]</t>
  </si>
  <si>
    <t>[%]</t>
  </si>
  <si>
    <t>Division</t>
  </si>
  <si>
    <t>03</t>
  </si>
  <si>
    <t>CONCRETE</t>
  </si>
  <si>
    <t>04</t>
  </si>
  <si>
    <t>MASONRY</t>
  </si>
  <si>
    <t>05</t>
  </si>
  <si>
    <t>METALS</t>
  </si>
  <si>
    <t>06</t>
  </si>
  <si>
    <t>WOOD, PLASTICS &amp; COMPOSITES</t>
  </si>
  <si>
    <t>07</t>
  </si>
  <si>
    <t>THERMAL / MOISTURE PROTECTION</t>
  </si>
  <si>
    <t>08</t>
  </si>
  <si>
    <t>DOORS &amp; WINDOWS (OPENINGS)</t>
  </si>
  <si>
    <t>09</t>
  </si>
  <si>
    <t>FINISHES</t>
  </si>
  <si>
    <t>10</t>
  </si>
  <si>
    <t>SPECIALTIES</t>
  </si>
  <si>
    <t>TOTAL</t>
  </si>
  <si>
    <t>Daylight and Views Calculator</t>
  </si>
  <si>
    <t>Requirements</t>
  </si>
  <si>
    <r>
      <t>Daylight</t>
    </r>
    <r>
      <rPr>
        <sz val="10"/>
        <rFont val="Arial"/>
        <family val="2"/>
      </rPr>
      <t>:  Achieve a minimum Daylight Factor of</t>
    </r>
    <r>
      <rPr>
        <b/>
        <sz val="10"/>
        <rFont val="Arial"/>
        <family val="2"/>
      </rPr>
      <t xml:space="preserve"> 2% </t>
    </r>
    <r>
      <rPr>
        <sz val="10"/>
        <rFont val="Arial"/>
        <family val="2"/>
      </rPr>
      <t xml:space="preserve">(excluding all direct sunlight penetration) in </t>
    </r>
    <r>
      <rPr>
        <b/>
        <sz val="10"/>
        <rFont val="Arial"/>
        <family val="2"/>
      </rPr>
      <t xml:space="preserve">75% </t>
    </r>
    <r>
      <rPr>
        <sz val="10"/>
        <rFont val="Arial"/>
        <family val="2"/>
      </rPr>
      <t>of all space occupied for critical visual tasks, not including copy rooms, storage areas, mechanical, laundry, and other low occupancy support areas.  Exceptions include those spaces where tasks would be hindered by the use of daylight or where accomplishing the specific tasks within a space would be enhanced by the direct penetration of sunlight.</t>
    </r>
  </si>
  <si>
    <r>
      <t>Views</t>
    </r>
    <r>
      <rPr>
        <sz val="10"/>
        <rFont val="Arial"/>
        <family val="2"/>
      </rPr>
      <t>:  Direct line of sight to vision glazing from</t>
    </r>
    <r>
      <rPr>
        <b/>
        <sz val="10"/>
        <rFont val="Arial"/>
        <family val="2"/>
      </rPr>
      <t xml:space="preserve"> 90%</t>
    </r>
    <r>
      <rPr>
        <sz val="10"/>
        <rFont val="Arial"/>
        <family val="2"/>
      </rPr>
      <t xml:space="preserve"> of all regularly occupied spaces, not including copy rooms, storage areas, mechanical, laundry, and other low occupancy support areas.</t>
    </r>
  </si>
  <si>
    <t>2.  Compare the amount of daylit area to the requirement listed above to determine if the project can qualify for the credit.</t>
  </si>
  <si>
    <t xml:space="preserve">3.  Using the drawings, highlight those areas in each room from which a direct line of sight through a clear glazed window (mounted on the vertical wall plane) is possible.  Consider any obstruction by the wall thickness when figuring views at oblique angles.  Window areas below 2’6” and above 7’6” (including daylight glazing, skylights, and roof monitors) do not qualify for the credit.  Visually compare the highlighted areas of each room.  In rooms that appear close to the required 90%, measure the area highlighted and compare this to the total square footage of that room.  For those rooms that reach 90%, insert the TOTAL square footage for the room in Column L.  When determining eligible rooms, consider any planned or anticipated tenant improvement permanent walls that will be in place for initial occupancy.  </t>
  </si>
  <si>
    <t>Glare Control Chart</t>
  </si>
  <si>
    <t>Window Geometry Table</t>
  </si>
  <si>
    <t>Type</t>
  </si>
  <si>
    <t>Window Type</t>
  </si>
  <si>
    <t>Geometry Factor</t>
  </si>
  <si>
    <t>Minimum Tvis</t>
  </si>
  <si>
    <t>Height Factor</t>
  </si>
  <si>
    <t>Best Practice Glare Control</t>
  </si>
  <si>
    <t>Fixed exterior shading devices</t>
  </si>
  <si>
    <r>
      <t xml:space="preserve">Sidelighting </t>
    </r>
    <r>
      <rPr>
        <b/>
        <sz val="10"/>
        <rFont val="Arial"/>
        <family val="2"/>
      </rPr>
      <t>Daylight</t>
    </r>
    <r>
      <rPr>
        <sz val="10"/>
        <rFont val="Arial"/>
        <family val="2"/>
      </rPr>
      <t xml:space="preserve"> Glazing</t>
    </r>
  </si>
  <si>
    <t>Adjustible Blinds
Interior light shelves
Fixed transluscent exterior shading devices</t>
  </si>
  <si>
    <t>Light shelf, exterior</t>
  </si>
  <si>
    <t>Light shelf, interior</t>
  </si>
  <si>
    <r>
      <t xml:space="preserve">Sidelighting </t>
    </r>
    <r>
      <rPr>
        <b/>
        <sz val="10"/>
        <rFont val="Arial"/>
        <family val="2"/>
      </rPr>
      <t>Vision</t>
    </r>
    <r>
      <rPr>
        <sz val="10"/>
        <rFont val="Arial"/>
        <family val="2"/>
      </rPr>
      <t xml:space="preserve"> Glazing</t>
    </r>
  </si>
  <si>
    <t>Adjustible Blinds
Exterior shading devices</t>
  </si>
  <si>
    <t>Interior blinds</t>
  </si>
  <si>
    <t>Pull-down shades</t>
  </si>
  <si>
    <r>
      <t xml:space="preserve">Toplighting </t>
    </r>
    <r>
      <rPr>
        <b/>
        <sz val="10"/>
        <rFont val="Arial"/>
        <family val="2"/>
      </rPr>
      <t>Vertical</t>
    </r>
    <r>
      <rPr>
        <sz val="10"/>
        <rFont val="Arial"/>
        <family val="2"/>
      </rPr>
      <t xml:space="preserve"> Monitor</t>
    </r>
  </si>
  <si>
    <t>Fixed interior
Adjustible exterior blinds</t>
  </si>
  <si>
    <t>Fritted glazing</t>
  </si>
  <si>
    <t>Drapes</t>
  </si>
  <si>
    <r>
      <t xml:space="preserve">Toplighting </t>
    </r>
    <r>
      <rPr>
        <b/>
        <sz val="10"/>
        <rFont val="Arial"/>
        <family val="2"/>
      </rPr>
      <t>Sawtooth</t>
    </r>
    <r>
      <rPr>
        <sz val="10"/>
        <rFont val="Arial"/>
        <family val="2"/>
      </rPr>
      <t xml:space="preserve"> Monitor</t>
    </r>
  </si>
  <si>
    <t>Fixed interior
Exterior louvers</t>
  </si>
  <si>
    <t>Electronic black-out glazing</t>
  </si>
  <si>
    <r>
      <t xml:space="preserve">Toplighting </t>
    </r>
    <r>
      <rPr>
        <b/>
        <sz val="10"/>
        <rFont val="Arial"/>
        <family val="2"/>
      </rPr>
      <t>Horizontal</t>
    </r>
    <r>
      <rPr>
        <sz val="10"/>
        <rFont val="Arial"/>
        <family val="2"/>
      </rPr>
      <t xml:space="preserve"> Skylights</t>
    </r>
  </si>
  <si>
    <t>Interior fins
Exterior fins
Louvers</t>
  </si>
  <si>
    <t>Daylighting and Views Calculator</t>
  </si>
  <si>
    <t>Room</t>
  </si>
  <si>
    <t>Floor Area</t>
  </si>
  <si>
    <t>Glazing Area</t>
  </si>
  <si>
    <t>Window Geometry</t>
  </si>
  <si>
    <r>
      <t>Transmittance  (T</t>
    </r>
    <r>
      <rPr>
        <b/>
        <vertAlign val="subscript"/>
        <sz val="9"/>
        <rFont val="Arial"/>
        <family val="2"/>
      </rPr>
      <t>VIS</t>
    </r>
    <r>
      <rPr>
        <b/>
        <sz val="9"/>
        <rFont val="Arial"/>
        <family val="2"/>
      </rPr>
      <t>)</t>
    </r>
  </si>
  <si>
    <t>Window Height</t>
  </si>
  <si>
    <t>Daylight Factor</t>
  </si>
  <si>
    <t>Daylit Area</t>
  </si>
  <si>
    <t>Views</t>
  </si>
  <si>
    <t>Glare Control</t>
  </si>
  <si>
    <t>[SF]</t>
  </si>
  <si>
    <t>Factor</t>
  </si>
  <si>
    <t>Actual</t>
  </si>
  <si>
    <t>Min</t>
  </si>
  <si>
    <t>Each</t>
  </si>
  <si>
    <t>Daylight</t>
  </si>
  <si>
    <t>Horizontal</t>
  </si>
  <si>
    <t>2</t>
  </si>
  <si>
    <t>horizontal</t>
  </si>
  <si>
    <t>3</t>
  </si>
  <si>
    <t>4</t>
  </si>
  <si>
    <t>5</t>
  </si>
  <si>
    <t>6</t>
  </si>
  <si>
    <t>7</t>
  </si>
  <si>
    <t>8</t>
  </si>
  <si>
    <t>9</t>
  </si>
  <si>
    <t>11</t>
  </si>
  <si>
    <t>12</t>
  </si>
  <si>
    <t>13</t>
  </si>
  <si>
    <t>14</t>
  </si>
  <si>
    <t>Geometry</t>
  </si>
  <si>
    <t>Min Tvis</t>
  </si>
  <si>
    <t>Height</t>
  </si>
  <si>
    <t>Vision</t>
  </si>
  <si>
    <t>Vertical</t>
  </si>
  <si>
    <t>Sawtooth</t>
  </si>
  <si>
    <t>Initials</t>
  </si>
  <si>
    <t>Designated Project Team Member</t>
  </si>
  <si>
    <t>Date</t>
  </si>
  <si>
    <t>Project Name:</t>
  </si>
  <si>
    <t>Date:</t>
  </si>
  <si>
    <t>Other</t>
  </si>
  <si>
    <t>Credit Level</t>
  </si>
  <si>
    <t>LM6.1</t>
  </si>
  <si>
    <t>LM7.2</t>
  </si>
  <si>
    <t>LM7.3</t>
  </si>
  <si>
    <t>Sustainable Materials: Tennessee Produced Materials (non-wood) - Harvested AND manufactured in state - 10% of total cost. Harvested OR manufactured in TN, 50% of product cost contributes to credit.</t>
  </si>
  <si>
    <t xml:space="preserve">Sustainable Materials: Tennessee Produced Wood Products -Wood materiasl harvested AND manufactured in state - 50% of wood products. When harvested OR manufactred in state, 50% of material cost contributes to credit. </t>
  </si>
  <si>
    <t>Sustainable Materials: Regional materials - 20%</t>
  </si>
  <si>
    <t>LM5.1</t>
  </si>
  <si>
    <t>N/A</t>
  </si>
  <si>
    <t>HPBr Points Achieved</t>
  </si>
  <si>
    <t>TN HPBr Appendix B</t>
  </si>
  <si>
    <t xml:space="preserve">Total HPBr Points Achieved by Project </t>
  </si>
  <si>
    <t>Land Management</t>
  </si>
  <si>
    <t>Water Effciency</t>
  </si>
  <si>
    <t>Indoor Environmental Quality</t>
  </si>
  <si>
    <t>SD</t>
  </si>
  <si>
    <t>DD</t>
  </si>
  <si>
    <t>Water Efficiency</t>
  </si>
  <si>
    <t># Points</t>
  </si>
  <si>
    <t>Credit ID</t>
  </si>
  <si>
    <t>Project Type:</t>
  </si>
  <si>
    <t>TN High Performance Building Requirements</t>
  </si>
  <si>
    <t>Contractor</t>
  </si>
  <si>
    <t>Architect</t>
  </si>
  <si>
    <t>Other:</t>
  </si>
  <si>
    <t>Architect:</t>
  </si>
  <si>
    <t>Elec. Eng.:</t>
  </si>
  <si>
    <t>Mech. Eng.:</t>
  </si>
  <si>
    <t>Contractor:</t>
  </si>
  <si>
    <t>Civil Eng.:</t>
  </si>
  <si>
    <t>Team Member Name</t>
  </si>
  <si>
    <r>
      <t xml:space="preserve">Site Selection - </t>
    </r>
    <r>
      <rPr>
        <sz val="10"/>
        <rFont val="Arial"/>
        <family val="2"/>
      </rPr>
      <t xml:space="preserve"> Show preference for building on developed sites: Preserve farmland/habitat, wetlands, floodplains, public parkland</t>
    </r>
  </si>
  <si>
    <r>
      <t xml:space="preserve">Site Disturbance - </t>
    </r>
    <r>
      <rPr>
        <sz val="10"/>
        <rFont val="Arial"/>
        <family val="2"/>
      </rPr>
      <t>Sediment and Erosion control during construction</t>
    </r>
  </si>
  <si>
    <r>
      <t>Site Disturbance -</t>
    </r>
    <r>
      <rPr>
        <sz val="10"/>
        <rFont val="Arial"/>
        <family val="2"/>
      </rPr>
      <t xml:space="preserve"> Limit site disturbance during construction to minimum development footprint</t>
    </r>
  </si>
  <si>
    <r>
      <t>Transportation -</t>
    </r>
    <r>
      <rPr>
        <sz val="10"/>
        <rFont val="Arial"/>
        <family val="2"/>
      </rPr>
      <t xml:space="preserve"> Plan for access to public transportation</t>
    </r>
  </si>
  <si>
    <r>
      <t xml:space="preserve">Transportation  - </t>
    </r>
    <r>
      <rPr>
        <sz val="10"/>
        <rFont val="Arial"/>
        <family val="2"/>
      </rPr>
      <t>Provide bicycle storage for 5% of building occupants and shower/changing facilities for 0.5% of FTE occupants</t>
    </r>
  </si>
  <si>
    <r>
      <t xml:space="preserve">Transportation - </t>
    </r>
    <r>
      <rPr>
        <sz val="10"/>
        <rFont val="Arial"/>
        <family val="2"/>
      </rPr>
      <t>Plan site  to include preferred parking for carpooling for 5% of all spaces provided</t>
    </r>
  </si>
  <si>
    <r>
      <t xml:space="preserve">Transportation - </t>
    </r>
    <r>
      <rPr>
        <sz val="10"/>
        <rFont val="Arial"/>
        <family val="2"/>
      </rPr>
      <t>Plan site  to include preferred parking for low-emitting/fuel efficient vehicles for 5% of all spaces provided</t>
    </r>
  </si>
  <si>
    <r>
      <t xml:space="preserve">Landscape Design - </t>
    </r>
    <r>
      <rPr>
        <sz val="10"/>
        <rFont val="Arial"/>
        <family val="2"/>
      </rPr>
      <t>Maximize vegetated open space</t>
    </r>
  </si>
  <si>
    <r>
      <t xml:space="preserve">Landscape Design - </t>
    </r>
    <r>
      <rPr>
        <sz val="10"/>
        <rFont val="Arial"/>
        <family val="2"/>
      </rPr>
      <t>Native and drought tolerant planting</t>
    </r>
  </si>
  <si>
    <r>
      <t xml:space="preserve">Heat Island Reduction - </t>
    </r>
    <r>
      <rPr>
        <sz val="10"/>
        <rFont val="Arial"/>
        <family val="2"/>
      </rPr>
      <t>Non roof surface reflectivity and shading</t>
    </r>
  </si>
  <si>
    <r>
      <t xml:space="preserve">Heat Island Reduction - </t>
    </r>
    <r>
      <rPr>
        <sz val="10"/>
        <rFont val="Arial"/>
        <family val="2"/>
      </rPr>
      <t>Reflective roof materials</t>
    </r>
  </si>
  <si>
    <r>
      <t xml:space="preserve">Stormwater Design - </t>
    </r>
    <r>
      <rPr>
        <sz val="10"/>
        <rFont val="Arial"/>
        <family val="2"/>
      </rPr>
      <t>Post development discharge rate and volume not to exceed Pre-development rate</t>
    </r>
  </si>
  <si>
    <r>
      <t xml:space="preserve">Stormwater Design - </t>
    </r>
    <r>
      <rPr>
        <sz val="10"/>
        <rFont val="Arial"/>
        <family val="2"/>
      </rPr>
      <t>Reduce discharge rate and volume 25% on previously developed sites.</t>
    </r>
  </si>
  <si>
    <r>
      <t xml:space="preserve">Stormwater Design - </t>
    </r>
    <r>
      <rPr>
        <sz val="10"/>
        <rFont val="Arial"/>
        <family val="2"/>
      </rPr>
      <t>Design to remove 80% Total Suspended solids from the average annual rainfall event.  Verify local requirements.</t>
    </r>
  </si>
  <si>
    <r>
      <t xml:space="preserve">Stormwater Design - </t>
    </r>
    <r>
      <rPr>
        <sz val="10"/>
        <rFont val="Arial"/>
        <family val="2"/>
      </rPr>
      <t>Design per TDEC BMP References</t>
    </r>
  </si>
  <si>
    <r>
      <t xml:space="preserve">Exterior Site Lighting - </t>
    </r>
    <r>
      <rPr>
        <sz val="10"/>
        <rFont val="Arial"/>
        <family val="2"/>
      </rPr>
      <t>Locate fixtures to minimize illuminance above the horizontal plane</t>
    </r>
  </si>
  <si>
    <r>
      <t>Water Efficient Landscaping</t>
    </r>
    <r>
      <rPr>
        <sz val="10"/>
        <rFont val="Arial"/>
        <family val="2"/>
      </rPr>
      <t>, Utilize efficient irrigation technologies and planting measures</t>
    </r>
  </si>
  <si>
    <r>
      <t>Water Efficient Landscaping</t>
    </r>
    <r>
      <rPr>
        <sz val="10"/>
        <rFont val="Arial"/>
        <family val="2"/>
      </rPr>
      <t>, Non potable sources or no irrigation</t>
    </r>
  </si>
  <si>
    <r>
      <t xml:space="preserve">Wastewater Treatment &amp; Conveyance: </t>
    </r>
    <r>
      <rPr>
        <sz val="10"/>
        <rFont val="Arial"/>
        <family val="2"/>
      </rPr>
      <t>On site treatment</t>
    </r>
  </si>
  <si>
    <r>
      <t xml:space="preserve">Wastewater Treatment &amp; Conveyance: </t>
    </r>
    <r>
      <rPr>
        <sz val="10"/>
        <rFont val="Arial"/>
        <family val="2"/>
      </rPr>
      <t>Utilize non potable water</t>
    </r>
  </si>
  <si>
    <r>
      <t xml:space="preserve">Water Use Reduction </t>
    </r>
    <r>
      <rPr>
        <sz val="10"/>
        <rFont val="Arial"/>
        <family val="2"/>
      </rPr>
      <t>- Utilize auto-flow / auto-flush valves</t>
    </r>
  </si>
  <si>
    <r>
      <t xml:space="preserve">Energy Metering, Monitoring and Reporting:  </t>
    </r>
    <r>
      <rPr>
        <sz val="10"/>
        <rFont val="Arial"/>
        <family val="2"/>
      </rPr>
      <t>Building-Level Metering</t>
    </r>
  </si>
  <si>
    <r>
      <t xml:space="preserve">Sustainable Materials: </t>
    </r>
    <r>
      <rPr>
        <sz val="10"/>
        <rFont val="Arial"/>
        <family val="2"/>
      </rPr>
      <t>Recycled content 10%</t>
    </r>
  </si>
  <si>
    <r>
      <t xml:space="preserve">Sustainable Materials: </t>
    </r>
    <r>
      <rPr>
        <sz val="10"/>
        <rFont val="Arial"/>
        <family val="2"/>
      </rPr>
      <t>Material reuse</t>
    </r>
  </si>
  <si>
    <r>
      <t xml:space="preserve">Sustainable Materials: </t>
    </r>
    <r>
      <rPr>
        <sz val="10"/>
        <rFont val="Arial"/>
        <family val="2"/>
      </rPr>
      <t>Rapidly renewables</t>
    </r>
  </si>
  <si>
    <r>
      <t xml:space="preserve">19
</t>
    </r>
    <r>
      <rPr>
        <sz val="10"/>
        <color indexed="9"/>
        <rFont val="Arial"/>
        <family val="2"/>
      </rPr>
      <t>Points</t>
    </r>
  </si>
  <si>
    <r>
      <t xml:space="preserve">Outdoor Air Delivery Monitoring: </t>
    </r>
    <r>
      <rPr>
        <sz val="10"/>
        <rFont val="Arial"/>
        <family val="2"/>
      </rPr>
      <t>Provide a direct outdoor airflow measurement device</t>
    </r>
  </si>
  <si>
    <r>
      <t xml:space="preserve">CO2  Monitoring: </t>
    </r>
    <r>
      <rPr>
        <sz val="10"/>
        <rFont val="Arial"/>
        <family val="2"/>
      </rPr>
      <t>Provide CO2 monitors in all high occupancy areas</t>
    </r>
  </si>
  <si>
    <r>
      <t xml:space="preserve">Air Quality Management: </t>
    </r>
    <r>
      <rPr>
        <sz val="10"/>
        <rFont val="Arial"/>
        <family val="2"/>
      </rPr>
      <t>During construction</t>
    </r>
  </si>
  <si>
    <r>
      <t xml:space="preserve">Air Quality Management: </t>
    </r>
    <r>
      <rPr>
        <sz val="10"/>
        <rFont val="Arial"/>
        <family val="2"/>
      </rPr>
      <t>Before occupancy</t>
    </r>
  </si>
  <si>
    <r>
      <t xml:space="preserve"> Material VOC Limits: </t>
    </r>
    <r>
      <rPr>
        <sz val="10"/>
        <rFont val="Arial"/>
        <family val="2"/>
      </rPr>
      <t>Adhesives and sealants</t>
    </r>
  </si>
  <si>
    <r>
      <t xml:space="preserve"> Material VOC Limits: </t>
    </r>
    <r>
      <rPr>
        <sz val="10"/>
        <rFont val="Arial"/>
        <family val="2"/>
      </rPr>
      <t>Paints</t>
    </r>
  </si>
  <si>
    <r>
      <t xml:space="preserve"> Material VOC Limits: </t>
    </r>
    <r>
      <rPr>
        <sz val="10"/>
        <rFont val="Arial"/>
        <family val="2"/>
      </rPr>
      <t>Coatings and anti-corrosive paints</t>
    </r>
  </si>
  <si>
    <r>
      <t xml:space="preserve"> Material VOC Limits: </t>
    </r>
    <r>
      <rPr>
        <sz val="10"/>
        <rFont val="Arial"/>
        <family val="2"/>
      </rPr>
      <t>Flooring systems</t>
    </r>
  </si>
  <si>
    <r>
      <t xml:space="preserve"> Material VOC Limits: </t>
    </r>
    <r>
      <rPr>
        <sz val="10"/>
        <rFont val="Arial"/>
        <family val="2"/>
      </rPr>
      <t>Composite wood and agrifiber</t>
    </r>
  </si>
  <si>
    <r>
      <t xml:space="preserve"> Pollutant Control: </t>
    </r>
    <r>
      <rPr>
        <sz val="10"/>
        <rFont val="Arial"/>
        <family val="2"/>
      </rPr>
      <t>Entryway systems</t>
    </r>
  </si>
  <si>
    <r>
      <t xml:space="preserve"> Pollutant Control: </t>
    </r>
    <r>
      <rPr>
        <sz val="10"/>
        <rFont val="Arial"/>
        <family val="2"/>
      </rPr>
      <t>Hazardous material storage</t>
    </r>
  </si>
  <si>
    <r>
      <t xml:space="preserve"> Pollutant Control: </t>
    </r>
    <r>
      <rPr>
        <sz val="10"/>
        <rFont val="Arial"/>
        <family val="2"/>
      </rPr>
      <t>Filtration media</t>
    </r>
  </si>
  <si>
    <r>
      <t>Thermal Comfort:</t>
    </r>
    <r>
      <rPr>
        <sz val="10"/>
        <rFont val="Arial"/>
        <family val="2"/>
      </rPr>
      <t xml:space="preserve"> Design to meet ASHRAE Standard 55-2004 </t>
    </r>
  </si>
  <si>
    <r>
      <t xml:space="preserve">Individual Occupant System Controls: </t>
    </r>
    <r>
      <rPr>
        <sz val="10"/>
        <rFont val="Arial"/>
        <family val="2"/>
      </rPr>
      <t>Thermal comfort</t>
    </r>
  </si>
  <si>
    <r>
      <t xml:space="preserve">5
</t>
    </r>
    <r>
      <rPr>
        <sz val="10"/>
        <color indexed="9"/>
        <rFont val="Arial"/>
        <family val="2"/>
      </rPr>
      <t>Points</t>
    </r>
  </si>
  <si>
    <r>
      <t>Innovation in Design:</t>
    </r>
    <r>
      <rPr>
        <sz val="10"/>
        <rFont val="Arial"/>
        <family val="2"/>
      </rPr>
      <t xml:space="preserve"> Provide Specific Title</t>
    </r>
  </si>
  <si>
    <t>ME</t>
  </si>
  <si>
    <t>EE</t>
  </si>
  <si>
    <t>CE</t>
  </si>
  <si>
    <t>A</t>
  </si>
  <si>
    <t>Owner</t>
  </si>
  <si>
    <t>Mechanical Engineer</t>
  </si>
  <si>
    <t>Electrical Engineer</t>
  </si>
  <si>
    <t>Civil Engineer</t>
  </si>
  <si>
    <t>Primary Credit Responsibility</t>
  </si>
  <si>
    <r>
      <t>Site Selection</t>
    </r>
    <r>
      <rPr>
        <sz val="10"/>
        <rFont val="Arial"/>
        <family val="2"/>
      </rPr>
      <t xml:space="preserve"> - Reuse Existing Buildings</t>
    </r>
  </si>
  <si>
    <r>
      <t xml:space="preserve">Site Selection - </t>
    </r>
    <r>
      <rPr>
        <sz val="10"/>
        <rFont val="Arial"/>
        <family val="2"/>
      </rPr>
      <t xml:space="preserve">Brownfield Redevelopment </t>
    </r>
    <r>
      <rPr>
        <b/>
        <sz val="10"/>
        <rFont val="Arial"/>
        <family val="2"/>
      </rPr>
      <t xml:space="preserve">- </t>
    </r>
    <r>
      <rPr>
        <sz val="10"/>
        <rFont val="Arial"/>
        <family val="2"/>
      </rPr>
      <t xml:space="preserve"> Remediate and Restore contaminated sites when possible</t>
    </r>
  </si>
  <si>
    <r>
      <t>Site Selection -</t>
    </r>
    <r>
      <rPr>
        <sz val="10"/>
        <rFont val="Arial"/>
        <family val="2"/>
      </rPr>
      <t xml:space="preserve"> Urban Development </t>
    </r>
    <r>
      <rPr>
        <b/>
        <sz val="10"/>
        <rFont val="Arial"/>
        <family val="2"/>
      </rPr>
      <t xml:space="preserve">- </t>
    </r>
    <r>
      <rPr>
        <sz val="10"/>
        <rFont val="Arial"/>
        <family val="2"/>
      </rPr>
      <t>Locate building within existing infrastructure</t>
    </r>
  </si>
  <si>
    <t>LM1.1</t>
  </si>
  <si>
    <t>LM1.2</t>
  </si>
  <si>
    <t>LM1.3</t>
  </si>
  <si>
    <t>LM1.4</t>
  </si>
  <si>
    <t>LM2.1</t>
  </si>
  <si>
    <t>LM2.2</t>
  </si>
  <si>
    <t>LM3.1</t>
  </si>
  <si>
    <t>LM3.2</t>
  </si>
  <si>
    <t>LM3.3</t>
  </si>
  <si>
    <t>LM3.4</t>
  </si>
  <si>
    <t>LM4.1</t>
  </si>
  <si>
    <t>LM4.2</t>
  </si>
  <si>
    <t>LM6.2</t>
  </si>
  <si>
    <t>LM6.3</t>
  </si>
  <si>
    <t>LM6.4</t>
  </si>
  <si>
    <t>LM7.1</t>
  </si>
  <si>
    <r>
      <t xml:space="preserve">Water Use Reduction - </t>
    </r>
    <r>
      <rPr>
        <sz val="10"/>
        <rFont val="Arial"/>
        <family val="2"/>
      </rPr>
      <t>Fixture flow and flush rates</t>
    </r>
  </si>
  <si>
    <r>
      <t xml:space="preserve">Energy Efficiency in Existing Buildings - </t>
    </r>
    <r>
      <rPr>
        <sz val="10"/>
        <rFont val="Arial"/>
        <family val="2"/>
      </rPr>
      <t>Lighting Power Reduction</t>
    </r>
  </si>
  <si>
    <r>
      <t xml:space="preserve">Energy Efficiency in Existing Buildings - </t>
    </r>
    <r>
      <rPr>
        <sz val="10"/>
        <rFont val="Arial"/>
        <family val="2"/>
      </rPr>
      <t>Daylight Harvesting Controls</t>
    </r>
  </si>
  <si>
    <r>
      <t xml:space="preserve">Energy Efficiency in Existing Buildings - </t>
    </r>
    <r>
      <rPr>
        <sz val="10"/>
        <rFont val="Arial"/>
        <family val="2"/>
      </rPr>
      <t>High efficiency HVAC Equipment</t>
    </r>
  </si>
  <si>
    <t>MR1.1</t>
  </si>
  <si>
    <t>MR2.1</t>
  </si>
  <si>
    <t>MR3.1</t>
  </si>
  <si>
    <t>MR3.2</t>
  </si>
  <si>
    <t>MR3.3</t>
  </si>
  <si>
    <t>MR3.4</t>
  </si>
  <si>
    <t>MR3.5</t>
  </si>
  <si>
    <t>MR3.6</t>
  </si>
  <si>
    <t>MR3.7</t>
  </si>
  <si>
    <t>EQ1.1</t>
  </si>
  <si>
    <t>EQ2.1</t>
  </si>
  <si>
    <t>EQ3.1</t>
  </si>
  <si>
    <t>EQ4.1</t>
  </si>
  <si>
    <t>EQ5.1</t>
  </si>
  <si>
    <t>EQ5.2</t>
  </si>
  <si>
    <t>EQ6.1</t>
  </si>
  <si>
    <t>EQ6.2</t>
  </si>
  <si>
    <t>EQ6.3</t>
  </si>
  <si>
    <t>EQ6.4</t>
  </si>
  <si>
    <t>EQ6.5</t>
  </si>
  <si>
    <t>EQ7.1</t>
  </si>
  <si>
    <t>EQ7.2</t>
  </si>
  <si>
    <t>EQ7.3</t>
  </si>
  <si>
    <t>EQ8.1</t>
  </si>
  <si>
    <t>EQ9.1</t>
  </si>
  <si>
    <t>EQ9.2</t>
  </si>
  <si>
    <t>WE1.1</t>
  </si>
  <si>
    <t>WE.1.2</t>
  </si>
  <si>
    <t>WE2.1</t>
  </si>
  <si>
    <t>WE2.2</t>
  </si>
  <si>
    <t>WE3.1</t>
  </si>
  <si>
    <t>WE3.2</t>
  </si>
  <si>
    <t>ID1.1</t>
  </si>
  <si>
    <t>ID1.2</t>
  </si>
  <si>
    <t>ID1.3</t>
  </si>
  <si>
    <t>ID1.4</t>
  </si>
  <si>
    <t>ID2.1</t>
  </si>
  <si>
    <t>Phase</t>
  </si>
  <si>
    <t>CD</t>
  </si>
  <si>
    <t>Role</t>
  </si>
  <si>
    <t>Credit Level:</t>
  </si>
  <si>
    <t>Project Phase:</t>
  </si>
  <si>
    <t>Checklist Total</t>
  </si>
  <si>
    <t>LM Total:</t>
  </si>
  <si>
    <t>WE Total:</t>
  </si>
  <si>
    <t>MR Total:</t>
  </si>
  <si>
    <t>EQ Total:</t>
  </si>
  <si>
    <t>Innovation in Design and Construction</t>
  </si>
  <si>
    <t>ID Total:</t>
  </si>
  <si>
    <t>Checklist Total:</t>
  </si>
  <si>
    <t>Programming</t>
  </si>
  <si>
    <t>Materials and Resources</t>
  </si>
  <si>
    <r>
      <t xml:space="preserve">Sustainable Materials: </t>
    </r>
    <r>
      <rPr>
        <sz val="10"/>
        <rFont val="Arial"/>
        <family val="2"/>
      </rPr>
      <t>Tennessee Produced Materials (non-wood) - Harvested AND manufactured in state - 10% of total cost. Harvested OR manufactured in TN, 50% of product cost contributes to credit.</t>
    </r>
  </si>
  <si>
    <r>
      <t xml:space="preserve">Sustainable Materials: </t>
    </r>
    <r>
      <rPr>
        <sz val="10"/>
        <rFont val="Arial"/>
        <family val="2"/>
      </rPr>
      <t>Regional materials - 20%</t>
    </r>
  </si>
  <si>
    <t>Schematic Design</t>
  </si>
  <si>
    <t>Detailed Design</t>
  </si>
  <si>
    <t>Construction Documentation</t>
  </si>
  <si>
    <t>Closeout</t>
  </si>
  <si>
    <t>Owner Name:</t>
  </si>
  <si>
    <t>SBC Number:</t>
  </si>
  <si>
    <t>Owner's Organization:</t>
  </si>
  <si>
    <t>List Applicable Credits:</t>
  </si>
  <si>
    <r>
      <t xml:space="preserve">Sustainable Materials: </t>
    </r>
    <r>
      <rPr>
        <sz val="10"/>
        <rFont val="Arial"/>
        <family val="2"/>
      </rPr>
      <t>Recycled content 20%</t>
    </r>
  </si>
  <si>
    <t>Project Scope/Description:</t>
  </si>
  <si>
    <t>Regional Materials</t>
  </si>
  <si>
    <t>Tennessee Produced Materials</t>
  </si>
  <si>
    <t>Harvested AND Manuf. in TN</t>
  </si>
  <si>
    <t>Harvested OR Manuf in TN</t>
  </si>
  <si>
    <r>
      <t xml:space="preserve">Construction Waste Management </t>
    </r>
    <r>
      <rPr>
        <sz val="10"/>
        <rFont val="Arial"/>
        <family val="2"/>
      </rPr>
      <t>(50%, 75%, 95%)</t>
    </r>
  </si>
  <si>
    <t>EQ10.1</t>
  </si>
  <si>
    <t>EQ11.1</t>
  </si>
  <si>
    <r>
      <t xml:space="preserve">Sustainable Materials: </t>
    </r>
    <r>
      <rPr>
        <sz val="10"/>
        <rFont val="Arial"/>
        <family val="2"/>
      </rPr>
      <t xml:space="preserve">Tennessee Produced Wood Products -Wood materials harvested AND manufactured in state - 50% of wood products. When harvested OR manufactured in state, 50% of material cost contributes to credit. </t>
    </r>
  </si>
  <si>
    <r>
      <t xml:space="preserve">15
</t>
    </r>
    <r>
      <rPr>
        <sz val="10"/>
        <color indexed="9"/>
        <rFont val="Arial"/>
        <family val="2"/>
      </rPr>
      <t>Points</t>
    </r>
  </si>
  <si>
    <t>1.  First, list all regularly-occupied rooms and their associated square footages.  Add rows by the Insert/Rows command between the existing rows.  For each room, list each window geometry and the associated glazing area, transmittance, and window height factor.  Window areas of the same geometry in the same room may be added together.  The calculation may require substantial modification to fit a particular project; therefore, refer to the intent of the credit when modifying the spreadsheet.  See the High Performance Building Requirements Manual (HPBr) for more information on how to determine access to views.  Finally, designate the glare control used for each window geometry using the corresponding letter or letters from the Glare Control Chart.  The table automatically calculates the daylight factor for each room.</t>
  </si>
  <si>
    <t>4.  Compare the amount of area with sufficient views to the HPB requirement listed above to determine if the project can qualify for the credit.</t>
  </si>
  <si>
    <t>Level:</t>
  </si>
  <si>
    <r>
      <t xml:space="preserve">Energy Efficient Purchasing Policy - </t>
    </r>
    <r>
      <rPr>
        <sz val="10"/>
        <rFont val="Arial"/>
        <family val="2"/>
      </rPr>
      <t>Energy Star qualified appliances &amp; equipment</t>
    </r>
  </si>
  <si>
    <t>EE1.1</t>
  </si>
  <si>
    <t>EE1.2</t>
  </si>
  <si>
    <t>EE2.1</t>
  </si>
  <si>
    <t>EE3.1</t>
  </si>
  <si>
    <t>EE3.2</t>
  </si>
  <si>
    <t>EE3.3</t>
  </si>
  <si>
    <t>EE4.1</t>
  </si>
  <si>
    <t>EE4.2</t>
  </si>
  <si>
    <t>EE4.3</t>
  </si>
  <si>
    <t>EE4.4</t>
  </si>
  <si>
    <t>EE5.1</t>
  </si>
  <si>
    <t>EE5.2</t>
  </si>
  <si>
    <t>EE5.3</t>
  </si>
  <si>
    <t>EE6.1</t>
  </si>
  <si>
    <t>EE7.1</t>
  </si>
  <si>
    <t>EE7.2</t>
  </si>
  <si>
    <t>Energy Efficiency</t>
  </si>
  <si>
    <t>EE Total:</t>
  </si>
  <si>
    <t xml:space="preserve">Energy Efficiency </t>
  </si>
  <si>
    <t>Owner:</t>
  </si>
  <si>
    <t>Project Team Representatives</t>
  </si>
  <si>
    <t>[sign/type team member name as verification that initialed credits are COMPLETE]</t>
  </si>
  <si>
    <r>
      <t xml:space="preserve">Long-Term Energy Reporting - </t>
    </r>
    <r>
      <rPr>
        <sz val="10"/>
        <rFont val="Arial"/>
        <family val="2"/>
      </rPr>
      <t>Maintain energy and water consumption data in Energy Star Portfolio Manager</t>
    </r>
  </si>
  <si>
    <r>
      <t xml:space="preserve">Energy Metering, Monitoring and Reporting: </t>
    </r>
    <r>
      <rPr>
        <sz val="10"/>
        <rFont val="Arial"/>
        <family val="2"/>
      </rPr>
      <t>System level energy metering with measurement and verification - New Construction</t>
    </r>
  </si>
  <si>
    <t>Applicable to Building/Site Scope?</t>
  </si>
  <si>
    <t>EE3.4</t>
  </si>
  <si>
    <t>**If a project has 5 (five) or fewer credits applicable to the project scope, this form may be used, signed, and filed (for future audit) by the Owner at the end of the Programming Phase. 
No further Credit Verification forms will need to be submitted.</t>
  </si>
  <si>
    <t>Statement A:</t>
  </si>
  <si>
    <t>Statement B:</t>
  </si>
  <si>
    <t>Credit Reference Number and Name</t>
  </si>
  <si>
    <t>Owner's Signature:
(Required for A and B)</t>
  </si>
  <si>
    <t>Contractor's Signature:
(Required for A only)</t>
  </si>
  <si>
    <t>Designer's Signature:
(Required for A only)</t>
  </si>
  <si>
    <r>
      <rPr>
        <b/>
        <sz val="10"/>
        <rFont val="Arial"/>
        <family val="2"/>
      </rPr>
      <t>Number of Applicable Credits:</t>
    </r>
    <r>
      <rPr>
        <sz val="10"/>
        <rFont val="Arial"/>
        <family val="2"/>
      </rPr>
      <t xml:space="preserve">
(If there are no applicable 
credits, use Statement B)</t>
    </r>
  </si>
  <si>
    <t>Category A</t>
  </si>
  <si>
    <t>Category B</t>
  </si>
  <si>
    <t>Category C</t>
  </si>
  <si>
    <t>Commit to Statement A or B:
(Indicate which option is applicable)</t>
  </si>
  <si>
    <t>Credit Verification Form</t>
  </si>
  <si>
    <t>One-Time Completion Form</t>
  </si>
  <si>
    <r>
      <t xml:space="preserve">Energy Efficiency - </t>
    </r>
    <r>
      <rPr>
        <sz val="10"/>
        <rFont val="Arial"/>
        <family val="2"/>
      </rPr>
      <t xml:space="preserve">Life Cycle Cost Analysis </t>
    </r>
  </si>
  <si>
    <r>
      <t xml:space="preserve">Energy Metering, Monitoring and Reporting: </t>
    </r>
    <r>
      <rPr>
        <sz val="10"/>
        <rFont val="Arial"/>
        <family val="2"/>
      </rPr>
      <t>System level energy metering with measurement and verification - Existing Buildings</t>
    </r>
  </si>
  <si>
    <t>After a complete and thorough review of the Tennessee High Performance Building Requirements Manual and Checklist, and in accordance with the Tennessee Code Annotated (TCA), the Owner has determined that there are between 5 (five) and 1 (one) Credits applicable to the scope of the examined project.
The Project Team hereby commits to incorporating these selected Credits throughout the design and construction process and delivering a final product that is in full compliance with their requirements.</t>
  </si>
  <si>
    <t>After a complete and thorough review of the Tennessee High Performance Building Requirements Manual and Checklist, and in accordance with the Tennessee Code Annotated (TCA), The Owner has determined that there are 0 (zero) credits applicable to the scope of the examined project.</t>
  </si>
  <si>
    <r>
      <t xml:space="preserve">Renewable Energy - </t>
    </r>
    <r>
      <rPr>
        <sz val="10"/>
        <rFont val="Arial"/>
        <family val="2"/>
      </rPr>
      <t>Investigate life-cycle cost effectiveness of on-site renewable energy</t>
    </r>
  </si>
  <si>
    <r>
      <t xml:space="preserve">Renewable Energy - </t>
    </r>
    <r>
      <rPr>
        <sz val="10"/>
        <rFont val="Arial"/>
        <family val="2"/>
      </rPr>
      <t xml:space="preserve"> Provide Renewable Energy Credits (RECs) equal to 10% of annual site electricity through TVA or RECs equal to 35% from another source</t>
    </r>
  </si>
  <si>
    <t xml:space="preserve">Category from Applicability Tree:  </t>
  </si>
  <si>
    <t>Applicable</t>
  </si>
  <si>
    <t>Possible Points</t>
  </si>
  <si>
    <t>Priority 1</t>
  </si>
  <si>
    <t>Priority 2</t>
  </si>
  <si>
    <t>Minimum</t>
  </si>
  <si>
    <r>
      <t xml:space="preserve">Commissioning - </t>
    </r>
    <r>
      <rPr>
        <sz val="10"/>
        <rFont val="Arial"/>
        <family val="2"/>
      </rPr>
      <t>Basic commissioning process</t>
    </r>
  </si>
  <si>
    <r>
      <t xml:space="preserve">Commissioning - </t>
    </r>
    <r>
      <rPr>
        <sz val="10"/>
        <rFont val="Arial"/>
        <family val="2"/>
      </rPr>
      <t>Advanced commissioning process</t>
    </r>
  </si>
  <si>
    <r>
      <t xml:space="preserve">Exterior Site Lighting - </t>
    </r>
    <r>
      <rPr>
        <sz val="10"/>
        <rFont val="Arial"/>
        <family val="2"/>
      </rPr>
      <t>Locate exterior fixtures to minimize light trespass at property lines.  Document foot-candle levels at site boundary</t>
    </r>
  </si>
  <si>
    <r>
      <t xml:space="preserve">Minimum Ventilation: </t>
    </r>
    <r>
      <rPr>
        <sz val="10"/>
        <rFont val="Arial"/>
        <family val="2"/>
      </rPr>
      <t>Design to meet ASHRAE 62.1-2007 or 2012 IMC</t>
    </r>
  </si>
  <si>
    <t>[%] by weight</t>
  </si>
  <si>
    <t>Net Value</t>
  </si>
  <si>
    <t>Complete the table below with construction materials items, their associated costs, and percent by weight or volume of recycled content (pre and post-consumer).</t>
  </si>
  <si>
    <t>Renovation</t>
  </si>
  <si>
    <t>New Construction</t>
  </si>
  <si>
    <t>Capital Maintenance</t>
  </si>
  <si>
    <t>HPBr Points Required</t>
  </si>
  <si>
    <r>
      <t xml:space="preserve">Daylit Area: </t>
    </r>
    <r>
      <rPr>
        <sz val="10"/>
        <rFont val="Arial"/>
        <family val="2"/>
      </rPr>
      <t>The total floor area that meets the performance requirements for daylighting</t>
    </r>
  </si>
  <si>
    <r>
      <t xml:space="preserve">Glare Control: </t>
    </r>
    <r>
      <rPr>
        <sz val="10"/>
        <rFont val="Arial"/>
        <family val="2"/>
      </rPr>
      <t>Device or control method used to reduce excessively bright sources of light within the visual field that creates discomfort or loss in visibility.</t>
    </r>
  </si>
  <si>
    <r>
      <t>Glazing Factor:</t>
    </r>
    <r>
      <rPr>
        <sz val="10"/>
        <rFont val="Arial"/>
        <family val="2"/>
      </rPr>
      <t xml:space="preserve"> The ratio of interior illuminance at a given point on a given plane (usually the work plane) to the exterior illuminance under known overcast sky conditions.  LEED uses a simplified approach for its credit compliance calculations.  The variables used to determine the daylight factor include the floor area, window area, window geometry, visible transmittance (Tvis) and window height.</t>
    </r>
  </si>
  <si>
    <r>
      <t>Glazing Area:</t>
    </r>
    <r>
      <rPr>
        <sz val="10"/>
        <rFont val="Arial"/>
        <family val="2"/>
      </rPr>
      <t xml:space="preserve"> The entire area taken up by transparent light-transmitting glazing surfaces for the room.  The area includes only the rough opening and excludes the frame, sash, and other non-glazed components.</t>
    </r>
  </si>
  <si>
    <r>
      <t xml:space="preserve">Window Geometry: </t>
    </r>
    <r>
      <rPr>
        <sz val="10"/>
        <rFont val="Arial"/>
        <family val="2"/>
      </rPr>
      <t>Description of the window types in the room.  The ratio is determined by the Window Geometry table.</t>
    </r>
  </si>
  <si>
    <r>
      <t xml:space="preserve">Minimum Energy Performance - </t>
    </r>
    <r>
      <rPr>
        <sz val="10"/>
        <rFont val="Arial"/>
        <family val="2"/>
      </rPr>
      <t>all projects to demonstrate compliance with ASHRAE 90.1-2010, according to project scope</t>
    </r>
  </si>
  <si>
    <t>% Occupied Area meeting Daylight Requirements</t>
  </si>
  <si>
    <t>Percentage of Occupied Area with Sufficient Views</t>
  </si>
  <si>
    <t>1</t>
  </si>
  <si>
    <t>Percentage of Recycled Content (MR3.1 &amp; MR3.2)</t>
  </si>
  <si>
    <t>Resource Reuse Percentage (MR3.6)</t>
  </si>
  <si>
    <t>Rapidly Renewable Materials Percentage (MR3.7)</t>
  </si>
  <si>
    <t>Percentage of Regional Materials (MR3.5)</t>
  </si>
  <si>
    <t>Percentage of Tennessee Non-wood Materials (MR3.3)</t>
  </si>
  <si>
    <t>Points</t>
  </si>
  <si>
    <t>Percentage of Tennessee Wood Materials (MR3.4)</t>
  </si>
  <si>
    <t>Non-wood Materials</t>
  </si>
  <si>
    <r>
      <t xml:space="preserve">Recycled Content 
</t>
    </r>
    <r>
      <rPr>
        <sz val="9"/>
        <rFont val="Arial"/>
        <family val="2"/>
      </rPr>
      <t>(MR3.1 &amp; MR3.2)</t>
    </r>
  </si>
  <si>
    <r>
      <t xml:space="preserve">Regional Materials </t>
    </r>
    <r>
      <rPr>
        <sz val="9"/>
        <rFont val="Arial"/>
        <family val="2"/>
      </rPr>
      <t xml:space="preserve">
(MR3.5)</t>
    </r>
  </si>
  <si>
    <r>
      <t xml:space="preserve">Resource Reuse
</t>
    </r>
    <r>
      <rPr>
        <sz val="9"/>
        <rFont val="Arial"/>
        <family val="2"/>
      </rPr>
      <t>(MR3.6)</t>
    </r>
  </si>
  <si>
    <r>
      <t xml:space="preserve">Rapidly
Renewable
Materials
</t>
    </r>
    <r>
      <rPr>
        <sz val="9"/>
        <rFont val="Arial"/>
        <family val="2"/>
      </rPr>
      <t>(MR3.7)</t>
    </r>
  </si>
  <si>
    <r>
      <t xml:space="preserve">Non-wood Materials </t>
    </r>
    <r>
      <rPr>
        <sz val="10"/>
        <rFont val="Arial"/>
        <family val="2"/>
      </rPr>
      <t>(MR3.3)</t>
    </r>
  </si>
  <si>
    <r>
      <t xml:space="preserve">Wood Materials </t>
    </r>
    <r>
      <rPr>
        <sz val="10"/>
        <rFont val="Arial"/>
        <family val="2"/>
      </rPr>
      <t>(MR3.4)</t>
    </r>
  </si>
  <si>
    <t xml:space="preserve"> 37                                                                                                                                                                                                                              Points</t>
  </si>
  <si>
    <r>
      <t xml:space="preserve">22
</t>
    </r>
    <r>
      <rPr>
        <sz val="10"/>
        <color indexed="9"/>
        <rFont val="Arial"/>
        <family val="2"/>
      </rPr>
      <t>Points</t>
    </r>
  </si>
  <si>
    <t>LM5.2</t>
  </si>
  <si>
    <t>Site Selection - Reuse Existing Buildings</t>
  </si>
  <si>
    <t>Site Selection -  Show preference for building on developed sites: Preserve farmland/habitat, wetlands, floodplains, public parkland</t>
  </si>
  <si>
    <t>Site Selection - Brownfield Redevelopment -  Remediate and Restore contaminated sites when possible</t>
  </si>
  <si>
    <t>Site Selection - Urban Development - Locate building within existing infrastructure</t>
  </si>
  <si>
    <t>Site Disturbance - Sediment and Erosion control during construction</t>
  </si>
  <si>
    <t>Site Disturbance - Limit site disturbance during construction to minimum development footprint</t>
  </si>
  <si>
    <t>Transportation - Plan for access to public transportation</t>
  </si>
  <si>
    <t>Transportation  - Provide bicycle storage for 5% of building occupants and shower/changing facilities for 0.5% of FTE occupants</t>
  </si>
  <si>
    <t>Transportation - Plan site  to include preferred parking for carpooling for 5% of all spaces provided</t>
  </si>
  <si>
    <t>Transportation - Plan site  to include preferred parking for low-emitting/fuel efficient vehicles for 5% of all spaces provided</t>
  </si>
  <si>
    <t>Landscape Design - Maximize vegetated open space</t>
  </si>
  <si>
    <t>Landscape Design - Native and drought tolerant planting</t>
  </si>
  <si>
    <t>Heat Island Reduction - Non roof surface reflectivity and shading</t>
  </si>
  <si>
    <t>Heat Island Reduction - Reflective roof materials</t>
  </si>
  <si>
    <t>Stormwater Design - Post development discharge rate and volume not to exceed Pre-development rate</t>
  </si>
  <si>
    <t>Stormwater Design - Reduce discharge rate and volume 25% on previously developed sites.</t>
  </si>
  <si>
    <t>Stormwater Design - Design to remove 80% Total Suspended solids from the average annual rainfall event.  Verify local requirements.</t>
  </si>
  <si>
    <t>Stormwater Design - Design per TDEC BMP References</t>
  </si>
  <si>
    <t>Exterior Site Lighting - Design exterior lighting power to be 20% less than is allowed by ASHRAE 90.1-2007</t>
  </si>
  <si>
    <t>Exterior Site Lighting - Locate fixtures to minimize illuminance above the horizontal plane</t>
  </si>
  <si>
    <t>Exterior Site Lighting - Locate exterior fixtures to minimize light trespass at property lines.  Document foot-candle levels at site boundary</t>
  </si>
  <si>
    <t>Water Efficient Landscaping, Utilize efficient irrigation technologies and planting measures</t>
  </si>
  <si>
    <t>Water Efficient Landscaping, Non potable sources or no irrigation</t>
  </si>
  <si>
    <t>Wastewater Treatment &amp; Conveyance: On site treatment</t>
  </si>
  <si>
    <t>Wastewater Treatment &amp; Conveyance: Utilize non potable water</t>
  </si>
  <si>
    <t>Water Use Reduction - Fixture flow and flush rates</t>
  </si>
  <si>
    <t>Water Use Reduction - Utilize auto-flow / auto-flush valves</t>
  </si>
  <si>
    <t>Commissioning - Basic commissioning process</t>
  </si>
  <si>
    <t>Commissioning - Advanced commissioning process</t>
  </si>
  <si>
    <t>Energy Efficient Purchasing Policy - Energy Star qualified appliances &amp; equipment</t>
  </si>
  <si>
    <t>Energy Efficiency - in New Construction and Renovation Projects; Schematic Design energy modeling</t>
  </si>
  <si>
    <t xml:space="preserve">Energy Efficiency - Life Cycle Cost Analysis </t>
  </si>
  <si>
    <t>Minimum Energy Performance - all projects to demonstrate compliance with ASHRAE 90.1-2010, according to project scope</t>
  </si>
  <si>
    <t>Improved Energy Performance - in New Construction &amp; Renovation Projects  points are available if the energy model is used during design and final design demonstrates energy cost savings that exceed those required by the Minimum Energy Performance credit (EE3.3)</t>
  </si>
  <si>
    <t>Energy Efficiency in Existing Buildings - Lighting Power Reduction</t>
  </si>
  <si>
    <t>Energy Efficiency in Existing Buildings - Daylight Harvesting Controls</t>
  </si>
  <si>
    <t>Energy Efficiency in Existing Buildings - Occupancy sensor-controlled lighting</t>
  </si>
  <si>
    <t>Energy Efficiency in Existing Buildings - High efficiency HVAC Equipment</t>
  </si>
  <si>
    <t>Energy Metering, Monitoring and Reporting:  Building-Level Metering</t>
  </si>
  <si>
    <t>Energy Metering, Monitoring and Reporting: System level energy metering with measurement and verification - New Construction</t>
  </si>
  <si>
    <t>Energy Metering, Monitoring and Reporting: System level energy metering with measurement and verification - Existing Buildings</t>
  </si>
  <si>
    <t>Long-Term Energy Reporting - Maintain energy and water consumption data in Energy Star Portfolio Manager</t>
  </si>
  <si>
    <t>Renewable Energy - Investigate life-cycle cost effectiveness of on-site renewable energy</t>
  </si>
  <si>
    <t>Renewable Energy -  Provide Renewable Energy Credits (RECs) equal to 10% of annual site electricity through TVA or RECs equal to 35% from another source</t>
  </si>
  <si>
    <t>Construction Waste Management (50%, 75%, 95%)</t>
  </si>
  <si>
    <t>Sustainable Materials: Recycled content 10%</t>
  </si>
  <si>
    <t>Sustainable Materials: Recycled content 20%</t>
  </si>
  <si>
    <t xml:space="preserve">Sustainable Materials: Tennessee Produced Wood Products -Wood materials harvested AND manufactured in state - 50% of wood products. When harvested OR manufactured in state, 50% of material cost contributes to credit. </t>
  </si>
  <si>
    <t>Sustainable Materials: Material reuse</t>
  </si>
  <si>
    <t>Sustainable Materials: Rapidly renewables</t>
  </si>
  <si>
    <t>Minimum Ventilation: Design to meet ASHRAE 62.1-2007 or 2012 IMC</t>
  </si>
  <si>
    <t>Outdoor Air Delivery Monitoring: Provide a direct outdoor airflow measurement device</t>
  </si>
  <si>
    <t>CO2  Monitoring: Provide CO2 monitors in all high occupancy areas</t>
  </si>
  <si>
    <t>Air Quality Management: During construction</t>
  </si>
  <si>
    <t>Air Quality Management: Before occupancy</t>
  </si>
  <si>
    <t xml:space="preserve"> Material VOC Limits: Adhesives and sealants</t>
  </si>
  <si>
    <t xml:space="preserve"> Material VOC Limits: Paints</t>
  </si>
  <si>
    <t xml:space="preserve"> Material VOC Limits: Coatings and anti-corrosive paints</t>
  </si>
  <si>
    <t xml:space="preserve"> Material VOC Limits: Flooring systems</t>
  </si>
  <si>
    <t xml:space="preserve"> Material VOC Limits: Composite wood and agrifiber</t>
  </si>
  <si>
    <t xml:space="preserve"> Pollutant Control: Entryway systems</t>
  </si>
  <si>
    <t xml:space="preserve"> Pollutant Control: Hazardous material storage</t>
  </si>
  <si>
    <t xml:space="preserve"> Pollutant Control: Filtration media</t>
  </si>
  <si>
    <t xml:space="preserve">Thermal Comfort: Design to meet ASHRAE Standard 55-2004 </t>
  </si>
  <si>
    <t>Individual Occupant System Controls: Lighting</t>
  </si>
  <si>
    <t>Individual Occupant System Controls: Thermal comfort</t>
  </si>
  <si>
    <t>Innovation in Design: Provide Specific Title</t>
  </si>
  <si>
    <t>CreditID_Description</t>
  </si>
  <si>
    <r>
      <t>Energy Efficiency -</t>
    </r>
    <r>
      <rPr>
        <sz val="10"/>
        <rFont val="Arial"/>
        <family val="2"/>
      </rPr>
      <t xml:space="preserve"> Schematic Design energy modeling</t>
    </r>
  </si>
  <si>
    <r>
      <t xml:space="preserve">Improved Energy Performance - </t>
    </r>
    <r>
      <rPr>
        <sz val="10"/>
        <rFont val="Arial"/>
        <family val="2"/>
      </rPr>
      <t>energy model is used during design, and final design demonstrates energy cost savings that exceed those required by the Minimum Energy Performance credit (EE3.3)</t>
    </r>
  </si>
  <si>
    <r>
      <t xml:space="preserve">Energy Efficiency in Existing Buildings - </t>
    </r>
    <r>
      <rPr>
        <sz val="10"/>
        <rFont val="Arial"/>
        <family val="2"/>
      </rPr>
      <t>Vacancy sensor-controlled lighting</t>
    </r>
  </si>
  <si>
    <t>Recycling Collection and Storage</t>
  </si>
  <si>
    <r>
      <rPr>
        <b/>
        <sz val="10"/>
        <rFont val="Arial"/>
        <family val="2"/>
      </rPr>
      <t xml:space="preserve">Exterior Site Lighting </t>
    </r>
    <r>
      <rPr>
        <sz val="10"/>
        <rFont val="Arial"/>
        <family val="2"/>
      </rPr>
      <t>- Design exterior lighting power to be 10% less than is allowed by ASHRAE 90.1-2010, Section 9.4.3</t>
    </r>
  </si>
  <si>
    <r>
      <t xml:space="preserve">Individual Occupant System Controls: </t>
    </r>
    <r>
      <rPr>
        <sz val="10"/>
        <rFont val="Arial"/>
        <family val="2"/>
      </rPr>
      <t>Lighting controls</t>
    </r>
  </si>
  <si>
    <t xml:space="preserve">CHECKLIST / TRACKING FORM </t>
  </si>
  <si>
    <t>Helpful Hints:</t>
  </si>
  <si>
    <t xml:space="preserve">1) Refrain from copying and pasting data in Column C, "Applicable to </t>
  </si>
  <si>
    <t>Building/Site Scope?" as this can cause errors in some rows.</t>
  </si>
  <si>
    <t>2) If any cell highlights red below, then you have a point allocated to a</t>
  </si>
  <si>
    <t>credit that is "not applicable."  This is an error.  Simply delete the contents</t>
  </si>
  <si>
    <t>of the cell to reset.</t>
  </si>
  <si>
    <t xml:space="preserve">3) In column C, if you have copied or pasted in this column and a cell </t>
  </si>
  <si>
    <t>highlights all red, delete the contents of that cell to correct the error.</t>
  </si>
  <si>
    <t>4) If no points are available in the dropdown, this means you have listed</t>
  </si>
  <si>
    <t>that credit as "not applicable" and points cannot be attempted.</t>
  </si>
  <si>
    <t>Building Type</t>
  </si>
  <si>
    <t>GENERAL</t>
  </si>
  <si>
    <t>Project Name</t>
  </si>
  <si>
    <t>SBC Project Number</t>
  </si>
  <si>
    <t>Definition</t>
  </si>
  <si>
    <t>Includes These</t>
  </si>
  <si>
    <t>Sub-Categories from</t>
  </si>
  <si>
    <t>2003 CBECS Questionnaire</t>
  </si>
  <si>
    <t>Education</t>
  </si>
  <si>
    <t>Buildings used for academic or technical classroom instruction, such as elementary, middle, or high schools, and classroom buildings on college or university campuses. Buildings on education campuses for which the main use is not classroom are included in the category relating to their use. For example, administration buildings are part of "Office," dormitories are "Lodging," and libraries are "Public Assembly."</t>
  </si>
  <si>
    <t>elementary or middle school</t>
  </si>
  <si>
    <t>high school</t>
  </si>
  <si>
    <t>college or university</t>
  </si>
  <si>
    <t>preschool or daycare</t>
  </si>
  <si>
    <t>adult education</t>
  </si>
  <si>
    <t>career or vocational training</t>
  </si>
  <si>
    <t>religious education</t>
  </si>
  <si>
    <t>Food Sales</t>
  </si>
  <si>
    <t>Buildings used for retail or wholesale of food.</t>
  </si>
  <si>
    <t>grocery store or food market</t>
  </si>
  <si>
    <t>gas station with a convenience store</t>
  </si>
  <si>
    <t>convenience store</t>
  </si>
  <si>
    <t>Food Service</t>
  </si>
  <si>
    <t>Buildings used for preparation and sale of food and beverages for consumption.</t>
  </si>
  <si>
    <t>fast food</t>
  </si>
  <si>
    <t>restaurant or cafeteria</t>
  </si>
  <si>
    <t>Health Care (Inpatient)</t>
  </si>
  <si>
    <t>Buildings used as diagnostic and treatment facilities for inpatient care.</t>
  </si>
  <si>
    <t>hospital</t>
  </si>
  <si>
    <t>inpatient rehabilitation</t>
  </si>
  <si>
    <t>Health Care (Outpatient)</t>
  </si>
  <si>
    <t>Buildings used as diagnostic and treatment facilities for outpatient care. Medical offices are included here if they use any type of diagnostic medical equipment (if they do not, they are categorized as an office building).</t>
  </si>
  <si>
    <t>medical office (see previous column)</t>
  </si>
  <si>
    <t>clinic or other outpatient health care</t>
  </si>
  <si>
    <t>outpatient rehabilitation</t>
  </si>
  <si>
    <t>veterinarian</t>
  </si>
  <si>
    <t>Lodging</t>
  </si>
  <si>
    <t>Buildings used to offer multiple accommodations for short-term or long-term residents, including skilled nursing and other residential care buildings.</t>
  </si>
  <si>
    <t>motel or inn</t>
  </si>
  <si>
    <t>hotel</t>
  </si>
  <si>
    <t>dormitory, fraternity, or sorority</t>
  </si>
  <si>
    <t>retirement home</t>
  </si>
  <si>
    <t>nursing home, assisted living, or other residential care</t>
  </si>
  <si>
    <t>convent or monastery</t>
  </si>
  <si>
    <t>shelter, orphanage, or children's home</t>
  </si>
  <si>
    <t>halfway house</t>
  </si>
  <si>
    <t>Mercantile (Retail Other Than Mall)</t>
  </si>
  <si>
    <t>Buildings used for the sale and display of goods other than food.</t>
  </si>
  <si>
    <t>retail store</t>
  </si>
  <si>
    <t>beer, wine, or liquor store</t>
  </si>
  <si>
    <t>rental center</t>
  </si>
  <si>
    <t>dealership or showroom for vehicles or boats</t>
  </si>
  <si>
    <t>studio/gallery</t>
  </si>
  <si>
    <t>Mercantile (Enclosed and Strip Malls)</t>
  </si>
  <si>
    <t>Shopping malls comprised of multiple connected establishments.</t>
  </si>
  <si>
    <t>enclosed mall</t>
  </si>
  <si>
    <t>strip shopping center</t>
  </si>
  <si>
    <t>Office</t>
  </si>
  <si>
    <t>Buildings used for general office space, professional office, or administrative offices. Medical offices are included here if they do not use any type of diagnostic medical equipment (if they do, they are categorized as an outpatient health care building).</t>
  </si>
  <si>
    <t>administrative or professional office</t>
  </si>
  <si>
    <t>government office</t>
  </si>
  <si>
    <t>mixed-use office</t>
  </si>
  <si>
    <t>bank or other financial institution</t>
  </si>
  <si>
    <t>sales office</t>
  </si>
  <si>
    <t>contractor's office (e.g. construction, plumbing, HVAC)</t>
  </si>
  <si>
    <t>non-profit or social services</t>
  </si>
  <si>
    <t>research and development</t>
  </si>
  <si>
    <t>city hall or city center</t>
  </si>
  <si>
    <t>religious office</t>
  </si>
  <si>
    <t>call center</t>
  </si>
  <si>
    <t>Public Assembly</t>
  </si>
  <si>
    <t>Buildings in which people gather for social or recreational activities, whether in private or non-private meeting halls.</t>
  </si>
  <si>
    <t>social or meeting (e.g. community center, lodge, meeting hall, convention center, senior center)</t>
  </si>
  <si>
    <t>recreation (e.g. gymnasium, health club, bowling alley, ice rink, field house, indoor racquet sports)</t>
  </si>
  <si>
    <t>entertainment or culture (e.g. museum, theater, cinema, sports arena, casino, night club)</t>
  </si>
  <si>
    <t>library</t>
  </si>
  <si>
    <t>funeral home</t>
  </si>
  <si>
    <t>student activities center</t>
  </si>
  <si>
    <t>armory</t>
  </si>
  <si>
    <t>exhibition hall</t>
  </si>
  <si>
    <t>broadcasting studio</t>
  </si>
  <si>
    <t>transportation terminal</t>
  </si>
  <si>
    <t>Public Order and Safety</t>
  </si>
  <si>
    <t>Buildings used for the preservation of law and order or public safety.</t>
  </si>
  <si>
    <t>police station</t>
  </si>
  <si>
    <t>fire station</t>
  </si>
  <si>
    <t>jail, reformatory, or penitentiary</t>
  </si>
  <si>
    <t>courthouse or probation office</t>
  </si>
  <si>
    <t>Religious Worship</t>
  </si>
  <si>
    <t>Buildings in which people gather for religious activities, (such as chapels, churches, mosques, synagogues, and temples).</t>
  </si>
  <si>
    <t>No subcategories collected.</t>
  </si>
  <si>
    <t>Service</t>
  </si>
  <si>
    <t>Buildings in which some type of service is provided, other than food service or retail sales of goods</t>
  </si>
  <si>
    <t>vehicle service or vehicle repair shop</t>
  </si>
  <si>
    <t>vehicle storage/ maintenance (car barn)</t>
  </si>
  <si>
    <t>repair shop</t>
  </si>
  <si>
    <t>dry cleaner or laundromat</t>
  </si>
  <si>
    <t>post office or postal center</t>
  </si>
  <si>
    <t>car wash</t>
  </si>
  <si>
    <t>gas station</t>
  </si>
  <si>
    <t>photo processing shop</t>
  </si>
  <si>
    <t>beauty parlor or barber shop</t>
  </si>
  <si>
    <t>tanning salon</t>
  </si>
  <si>
    <t>copy center or printing shop</t>
  </si>
  <si>
    <t>kennel</t>
  </si>
  <si>
    <t>Warehouse and Storage</t>
  </si>
  <si>
    <t>Buildings used to store goods, manufactured products, merchandise, raw materials, or personal belongings (such as self-storage).</t>
  </si>
  <si>
    <t>refrigerated warehouse</t>
  </si>
  <si>
    <t>non-refrigerated warehouse</t>
  </si>
  <si>
    <t>distribution or shipping center</t>
  </si>
  <si>
    <t>Buildings that are industrial or agricultural with some retail space; buildings having several different commercial activities that, together, comprise 50 percent or more of the floorspace, but whose largest single activity is agricultural, industrial/ manufacturing, or residential; and all other miscellaneous buildings that do not fit into any other category.</t>
  </si>
  <si>
    <t>airplane hangar</t>
  </si>
  <si>
    <t>crematorium</t>
  </si>
  <si>
    <t>laboratory</t>
  </si>
  <si>
    <t>telephone switching</t>
  </si>
  <si>
    <t>agricultural with some retail space</t>
  </si>
  <si>
    <t>manufacturing or industrial with some retail space</t>
  </si>
  <si>
    <t>data center or server farm</t>
  </si>
  <si>
    <t>Vacant</t>
  </si>
  <si>
    <t>Buildings in which more floorspace was vacant than was used for any single commercial activity at the time of interview. Therefore, a vacant building may have some occupied floorspace.</t>
  </si>
  <si>
    <t>No subcategories collected, but a question was asked to determine whether the building was completely</t>
  </si>
  <si>
    <t>Bank/Financial Institution</t>
  </si>
  <si>
    <t>Courthouse</t>
  </si>
  <si>
    <t>Education - College/University (campus-level)</t>
  </si>
  <si>
    <t>Education - General</t>
  </si>
  <si>
    <t>Education - K-12 School</t>
  </si>
  <si>
    <t>Food Sales - Convenience Store (w/ or w/out gas station)</t>
  </si>
  <si>
    <t>Food Sales - General</t>
  </si>
  <si>
    <t>Food Sales - Supermarket/Grocery</t>
  </si>
  <si>
    <t>Food Service - Fast Food</t>
  </si>
  <si>
    <t>Food Service - General</t>
  </si>
  <si>
    <t>Food Service - Restaurant/Cafeteria</t>
  </si>
  <si>
    <t>Health Care - Clinic</t>
  </si>
  <si>
    <t>Health Care - Hospital Inpatient</t>
  </si>
  <si>
    <t>Health Care - Medical Office</t>
  </si>
  <si>
    <t>Health Care - Nursing/Assisted Living</t>
  </si>
  <si>
    <t>Health Care - Outpatient - General</t>
  </si>
  <si>
    <t>Laboratory - Use Labs21 for benchmark</t>
  </si>
  <si>
    <t>Lodging - General</t>
  </si>
  <si>
    <t>Lodging - Hotel/Motel</t>
  </si>
  <si>
    <t>Lodging - Residence Hall/Dormitory</t>
  </si>
  <si>
    <t>Office - 10,000 sf</t>
  </si>
  <si>
    <t>Office - 10,001 to 100,000 sf</t>
  </si>
  <si>
    <t>Office - 100,001 sf or greater</t>
  </si>
  <si>
    <t>Other (airplane hanger, crematorium, agricultural, manufacturing, industrial)</t>
  </si>
  <si>
    <t>Public Assembly - Entertainment/Culture</t>
  </si>
  <si>
    <t>Public Assembly - General</t>
  </si>
  <si>
    <t>Public Assembly - Library</t>
  </si>
  <si>
    <t>Public Assembly - Recreation</t>
  </si>
  <si>
    <t>Public Assembly - Social/Meeting</t>
  </si>
  <si>
    <t>Public Safety - Fire/Police Station</t>
  </si>
  <si>
    <t>Public Safety - General</t>
  </si>
  <si>
    <t>Residential - Mobile Homes</t>
  </si>
  <si>
    <t>Residential - Multi-Family, 2 to 4 units</t>
  </si>
  <si>
    <t>Residential - Multi-Family, 5 or more units</t>
  </si>
  <si>
    <t>Residential - Single-Family Attached</t>
  </si>
  <si>
    <t>Residential - Single-Family Detached</t>
  </si>
  <si>
    <t>Residential - Mid-Rise/High-Rise</t>
  </si>
  <si>
    <t>Retail - Mall</t>
  </si>
  <si>
    <t>Retail - Non-mall, Vehicle Dealerships, misc.</t>
  </si>
  <si>
    <t>Retail Store</t>
  </si>
  <si>
    <t>Service (vehicle repair/service, postal service)</t>
  </si>
  <si>
    <t>Storage - Distribution/Shipping Center</t>
  </si>
  <si>
    <t>Storage - General</t>
  </si>
  <si>
    <t>Storage - Non-refrigerated warehouse</t>
  </si>
  <si>
    <t>Storage - Refrigerated warehouse</t>
  </si>
  <si>
    <t>Warehouse - Self-storage</t>
  </si>
  <si>
    <t>Total Cost of Materials on Project (Division 3-10)</t>
  </si>
  <si>
    <t>Total Cost of TN Products used on Project</t>
  </si>
  <si>
    <t>Total Cost of Regional Material on Project</t>
  </si>
  <si>
    <t>Total Cost/Value of Recycled Material on Project</t>
  </si>
  <si>
    <t>Carbon Emissions</t>
  </si>
  <si>
    <t>Fuel Types</t>
  </si>
  <si>
    <t>Electricity</t>
  </si>
  <si>
    <t>Natural Gas</t>
  </si>
  <si>
    <t>Propane</t>
  </si>
  <si>
    <t>Fuel Oil (No. 1)</t>
  </si>
  <si>
    <t>Fuel Oil (No. 2)</t>
  </si>
  <si>
    <t>Fuel Oil (No. 4)</t>
  </si>
  <si>
    <t>Fuel Oil (No. 5,6)</t>
  </si>
  <si>
    <t>Diesel Oil</t>
  </si>
  <si>
    <t>Kerosene</t>
  </si>
  <si>
    <t>Coal (anthracite)</t>
  </si>
  <si>
    <t>Coal (bituminous)</t>
  </si>
  <si>
    <t>Coke</t>
  </si>
  <si>
    <t>GHG Emission Factor (kG / Btu-10^6)</t>
  </si>
  <si>
    <t>Proposed</t>
  </si>
  <si>
    <t>Baseline</t>
  </si>
  <si>
    <t>Fuel #1</t>
  </si>
  <si>
    <t>Fuel #2</t>
  </si>
  <si>
    <t>Fuel #3</t>
  </si>
  <si>
    <t>Fuel #4</t>
  </si>
  <si>
    <t>Purchased/District Hot Water</t>
  </si>
  <si>
    <t>Purchased/District Steam</t>
  </si>
  <si>
    <t>Purchased/District Chilled Water</t>
  </si>
  <si>
    <t>Total Site Energy Use (kBtu/yr)</t>
  </si>
  <si>
    <t>Required with no Y or Maybe?</t>
  </si>
  <si>
    <t>Prog</t>
  </si>
  <si>
    <t>Close</t>
  </si>
  <si>
    <t>Total $$ Value</t>
  </si>
  <si>
    <t>Reduction in potable water per WE 3.1?</t>
  </si>
  <si>
    <t>Reduction in potable water per WE 3.2?</t>
  </si>
  <si>
    <t>Visitors</t>
  </si>
  <si>
    <t>Visitor Daily Uses</t>
  </si>
  <si>
    <t>Students</t>
  </si>
  <si>
    <t>Avg. % Electric</t>
  </si>
  <si>
    <t>WATER</t>
  </si>
  <si>
    <t>Modeled Energy Costs ($/yr)</t>
  </si>
  <si>
    <t>1000s of Gallons Saved per Year</t>
  </si>
  <si>
    <t>WATER EFFICIENCY</t>
  </si>
  <si>
    <t>ENERGY EFFICIENCY</t>
  </si>
  <si>
    <t>MATERIALS AND RESOURCES</t>
  </si>
  <si>
    <r>
      <t xml:space="preserve">7
</t>
    </r>
    <r>
      <rPr>
        <sz val="10"/>
        <color indexed="9"/>
        <rFont val="Arial"/>
        <family val="2"/>
      </rPr>
      <t>Points</t>
    </r>
  </si>
  <si>
    <r>
      <t>Building Use Type</t>
    </r>
    <r>
      <rPr>
        <b/>
        <vertAlign val="superscript"/>
        <sz val="11"/>
        <color rgb="FF000000"/>
        <rFont val="Arial"/>
        <family val="2"/>
      </rPr>
      <t>a</t>
    </r>
    <r>
      <rPr>
        <b/>
        <sz val="11"/>
        <color rgb="FF000000"/>
        <rFont val="Arial"/>
        <family val="2"/>
      </rPr>
      <t xml:space="preserve"> </t>
    </r>
  </si>
  <si>
    <t>a.</t>
  </si>
  <si>
    <t>b.</t>
  </si>
  <si>
    <t>c.</t>
  </si>
  <si>
    <t>d.</t>
  </si>
  <si>
    <t>e.</t>
  </si>
  <si>
    <t>f.</t>
  </si>
  <si>
    <t>Indicates a selectable dropdown menu</t>
  </si>
  <si>
    <t>Indicates editable cell</t>
  </si>
  <si>
    <t>Compliance Check:</t>
  </si>
  <si>
    <t>Program</t>
  </si>
  <si>
    <t>Estimated Site EUI (kBtu/sf/yr)</t>
  </si>
  <si>
    <t>Site Energy Reduction from Median (kBtu/yr):</t>
  </si>
  <si>
    <t>CxA</t>
  </si>
  <si>
    <t>Commissioning Agent</t>
  </si>
  <si>
    <t>Landscape Architect</t>
  </si>
  <si>
    <t>**NOTE - use the filter function for easy sorting for responsible credits, be sure to keep 'Sign-Off' and '(Blanks)'</t>
  </si>
  <si>
    <t>Landscape:</t>
  </si>
  <si>
    <t>Cx Agent.:</t>
  </si>
  <si>
    <t>High Performance Building Requirements - 5/18/18</t>
  </si>
  <si>
    <t>Points Summary</t>
  </si>
  <si>
    <t>Was an energy model created based on the final design to comply with either credit EE3.3 or EE3.4?</t>
  </si>
  <si>
    <t>Total Cost/Value of Recycled Material</t>
  </si>
  <si>
    <t>Total Cost of Regional Material</t>
  </si>
  <si>
    <t xml:space="preserve">Total Cost of Non-TN Materials </t>
  </si>
  <si>
    <t>Total Cost of Materials (Division 3-10)</t>
  </si>
  <si>
    <t>Total Cost of TN Materials</t>
  </si>
  <si>
    <r>
      <t xml:space="preserve">The reference energy code in the TN HPBr, ASHRAE 90.1-2010, is deemed to have an equivalent 42% energy savings to U.S. median building performance defined by 2003 CBECS.  This code equivalency was determined from collaborative research among the American Institute of Architects, New Buildings Institute, and Pacific Northwest National Laboratory.  This code equivalent savings % is provided to enable the inclusion of non-modeled projects in the collection of metrics for TN HPBr projects.  For more information, visit </t>
    </r>
    <r>
      <rPr>
        <u/>
        <sz val="10"/>
        <rFont val="Arial"/>
        <family val="2"/>
      </rPr>
      <t>https://2030ddx.aia.org/helps/Code%20Equivalent</t>
    </r>
  </si>
  <si>
    <t>Energy Cost Savings to median ($/yr)</t>
  </si>
  <si>
    <t>Achieved EE3.4 points</t>
  </si>
  <si>
    <t>EE3.4 Point Thresholds</t>
  </si>
  <si>
    <t>Modeled Energy Cost Savings % to Baseline</t>
  </si>
  <si>
    <t>&lt;- Warning - Documented EE3.4 points do not align with modeled energy cost savings %</t>
  </si>
  <si>
    <t>Electricity Usage as Percentage of Total Site Energy</t>
  </si>
  <si>
    <r>
      <t>% Code equivalent energy reduction from median</t>
    </r>
    <r>
      <rPr>
        <vertAlign val="superscript"/>
        <sz val="11"/>
        <color rgb="FF000000"/>
        <rFont val="Arial"/>
        <family val="2"/>
      </rPr>
      <t>c</t>
    </r>
    <r>
      <rPr>
        <sz val="11"/>
        <color rgb="FF000000"/>
        <rFont val="Arial"/>
        <family val="2"/>
      </rPr>
      <t>:</t>
    </r>
  </si>
  <si>
    <t>Project-specific Median Site Energy Costs ($/yr)</t>
  </si>
  <si>
    <t>U.S. Median</t>
  </si>
  <si>
    <t>U.S. National Median Site EUI</t>
  </si>
  <si>
    <t>Retail, general</t>
  </si>
  <si>
    <t>General office</t>
  </si>
  <si>
    <t>Retail or service (e.g. financial, auto)</t>
  </si>
  <si>
    <t>Restaurant</t>
  </si>
  <si>
    <t>Grocery store</t>
  </si>
  <si>
    <t>Medical office</t>
  </si>
  <si>
    <t>R&amp;D or laboratory</t>
  </si>
  <si>
    <t>Warehouse, distribution</t>
  </si>
  <si>
    <t>Warehouse, storage</t>
  </si>
  <si>
    <t>Hotel</t>
  </si>
  <si>
    <t>Educational, daycare</t>
  </si>
  <si>
    <t>Educational, K-12</t>
  </si>
  <si>
    <t>Educational, postsecondary</t>
  </si>
  <si>
    <t>USGBC Building Type</t>
  </si>
  <si>
    <t>GSF/Employee</t>
  </si>
  <si>
    <t>GSF/Transient</t>
  </si>
  <si>
    <t>CBECS Project Use Type</t>
  </si>
  <si>
    <t>Energy Cost Savings</t>
  </si>
  <si>
    <t>ENERGY</t>
  </si>
  <si>
    <t>USGBC Bldg Type</t>
  </si>
  <si>
    <t>U.S. Median Building Energy Usage, EUI, and Electricity % per building type from 2003 CBECS</t>
  </si>
  <si>
    <t>Water Closet - Female</t>
  </si>
  <si>
    <t>Water Closet - Male</t>
  </si>
  <si>
    <t>Urinal - Female</t>
  </si>
  <si>
    <t>Urinal - Male</t>
  </si>
  <si>
    <t>Public lavatory faucet</t>
  </si>
  <si>
    <t>Shower</t>
  </si>
  <si>
    <t>Kitchen Sink</t>
  </si>
  <si>
    <t>FTE Daily Uses</t>
  </si>
  <si>
    <t>Student Daily Uses</t>
  </si>
  <si>
    <t>Resident Daily Uses</t>
  </si>
  <si>
    <t>Retail Customer Daily Uses</t>
  </si>
  <si>
    <t>Residential lavatory faucet</t>
  </si>
  <si>
    <t>Residential Shower</t>
  </si>
  <si>
    <t>Residential Kitchen Sink</t>
  </si>
  <si>
    <t>Retail Customers</t>
  </si>
  <si>
    <t>Residents</t>
  </si>
  <si>
    <t>Employees</t>
  </si>
  <si>
    <t>% Transients as Visitors</t>
  </si>
  <si>
    <t>% Transients as Customers</t>
  </si>
  <si>
    <t>% Transients as Students</t>
  </si>
  <si>
    <t>% Transients as Residents</t>
  </si>
  <si>
    <t>Fixture Type</t>
  </si>
  <si>
    <t>Proposed Water Usage (gal/day)</t>
  </si>
  <si>
    <t>Baseline (gpf or gpm)</t>
  </si>
  <si>
    <t>Proposed (gpf or gpm)</t>
  </si>
  <si>
    <t>Duration (flush/use or min/use)</t>
  </si>
  <si>
    <t>Baseline Water Usage (gal/day)</t>
  </si>
  <si>
    <t>Baseline Total (Gal/yr)</t>
  </si>
  <si>
    <t>Proposed Total (Gal/yr)</t>
  </si>
  <si>
    <t>Days/yr</t>
  </si>
  <si>
    <t>Site Energy Consumption (kBtu/yr)</t>
  </si>
  <si>
    <t>Per USGBC LEED v4 BD+C Reference Manual</t>
  </si>
  <si>
    <t>Gallons Saved per Year (kgal/yr):</t>
  </si>
  <si>
    <t>Building Type from 2003 Commercial Buildings Energy Consumption Survey (CBECS); Refer to "Facility Types" tab for further explanation of Building Types</t>
  </si>
  <si>
    <r>
      <t>Project-specific Median Site EUI (kBtu/sf/yr)</t>
    </r>
    <r>
      <rPr>
        <vertAlign val="superscript"/>
        <sz val="11"/>
        <color rgb="FF000000"/>
        <rFont val="Arial"/>
        <family val="2"/>
      </rPr>
      <t>b</t>
    </r>
    <r>
      <rPr>
        <sz val="11"/>
        <color rgb="FF000000"/>
        <rFont val="Arial"/>
        <family val="2"/>
      </rPr>
      <t>:</t>
    </r>
  </si>
  <si>
    <r>
      <t>Project-specific Median Site Energy (kBtu/yr)</t>
    </r>
    <r>
      <rPr>
        <vertAlign val="superscript"/>
        <sz val="11"/>
        <color rgb="FF000000"/>
        <rFont val="Arial"/>
        <family val="2"/>
      </rPr>
      <t>b</t>
    </r>
    <r>
      <rPr>
        <sz val="11"/>
        <color rgb="FF000000"/>
        <rFont val="Arial"/>
        <family val="2"/>
      </rPr>
      <t>:</t>
    </r>
  </si>
  <si>
    <r>
      <t>% Site Energy Reduction from Median</t>
    </r>
    <r>
      <rPr>
        <vertAlign val="superscript"/>
        <sz val="11"/>
        <color rgb="FF000000"/>
        <rFont val="Arial"/>
        <family val="2"/>
      </rPr>
      <t>b</t>
    </r>
    <r>
      <rPr>
        <sz val="11"/>
        <color rgb="FF000000"/>
        <rFont val="Arial"/>
        <family val="2"/>
      </rPr>
      <t>:</t>
    </r>
  </si>
  <si>
    <t>Consumption based on estimated usage per occupant (USGBC default occupancy based on gross sf and usage per occupant per day based on USGBC), water usage rates per fixture based on WEc3.1 and WEc3.2.  Refer to "References" tab for background information.</t>
  </si>
  <si>
    <t>As reported by the contractor in the "MR Calculator" tab of HPBr checklist</t>
  </si>
  <si>
    <t xml:space="preserve">Sign-Off                            </t>
  </si>
  <si>
    <r>
      <t>Comment:</t>
    </r>
    <r>
      <rPr>
        <sz val="10"/>
        <rFont val="Arial"/>
        <family val="2"/>
      </rPr>
      <t xml:space="preserve">  Describe implementation approach for each pursued credit. New comments should be appended to old comments at each project phase.  If credits are neither pursued nor applicable, provide justification.  </t>
    </r>
  </si>
  <si>
    <t>LA</t>
  </si>
  <si>
    <t>ENERGY STAR Portfolio Manager-Technical Reference-GHG Emssions</t>
  </si>
  <si>
    <r>
      <t>Estimated Proposed Design Energy Cost ($/yr)</t>
    </r>
    <r>
      <rPr>
        <vertAlign val="superscript"/>
        <sz val="11"/>
        <color rgb="FF000000"/>
        <rFont val="Arial"/>
        <family val="2"/>
      </rPr>
      <t>d</t>
    </r>
  </si>
  <si>
    <r>
      <t>Estimated water consumption (kgal/yr) based on building size, type, and achievement of WE 3.1 and WE 3.2</t>
    </r>
    <r>
      <rPr>
        <vertAlign val="superscript"/>
        <sz val="11"/>
        <color rgb="FF000000"/>
        <rFont val="Arial"/>
        <family val="2"/>
      </rPr>
      <t>f</t>
    </r>
  </si>
  <si>
    <r>
      <t>MATERIALS</t>
    </r>
    <r>
      <rPr>
        <b/>
        <vertAlign val="superscript"/>
        <sz val="11"/>
        <color theme="0"/>
        <rFont val="Arial"/>
        <family val="2"/>
      </rPr>
      <t>g</t>
    </r>
  </si>
  <si>
    <t>g.</t>
  </si>
  <si>
    <t>When energy model data is not entered, energy costs and savings are estimated based on 2017 TN state average commercial energy rates of $0.1050/kWh and $0.883/therm per U.S. Energy Information Administration.</t>
  </si>
  <si>
    <t>h.</t>
  </si>
  <si>
    <t>REFERENCES / NOTES:</t>
  </si>
  <si>
    <r>
      <t xml:space="preserve">The Gross Floor Area (GFA) is the total square footage of the project, measured between the outside surface of the exterior walls of the project area. This includes all areas inside the project area including supporting spaces. GFA is not the same as rentable space, but rather includes all area inside the project area.
</t>
    </r>
    <r>
      <rPr>
        <u/>
        <sz val="10"/>
        <rFont val="Arial"/>
        <family val="2"/>
      </rPr>
      <t>Include in GFA:</t>
    </r>
    <r>
      <rPr>
        <sz val="10"/>
        <rFont val="Arial"/>
        <family val="2"/>
      </rPr>
      <t xml:space="preserve"> lobbies, tenant areas, common areas, meeting rooms, break rooms, atriums (count the base level only), restrooms, elevator shafts, stairwells, mechanical equipment areas, basements, storage rooms.
</t>
    </r>
    <r>
      <rPr>
        <u/>
        <sz val="10"/>
        <rFont val="Arial"/>
        <family val="2"/>
      </rPr>
      <t>Do not include in GFA:</t>
    </r>
    <r>
      <rPr>
        <sz val="10"/>
        <rFont val="Arial"/>
        <family val="2"/>
      </rPr>
      <t xml:space="preserve"> exterior spaces, balconies, patios, exterior loading docks, driveways, covered walkways, outdoor playcourts (tennis, basketball, etc.), parking, the interstitial plenum space between floors (which house pipes and ventilation), crawl spaces.</t>
    </r>
  </si>
  <si>
    <t>Gross Floor Area of Project (sq. ft.):</t>
  </si>
  <si>
    <r>
      <t>Gross Floor Area of Project (sq. ft.)</t>
    </r>
    <r>
      <rPr>
        <b/>
        <vertAlign val="superscript"/>
        <sz val="11"/>
        <color rgb="FF000000"/>
        <rFont val="Arial"/>
        <family val="2"/>
      </rPr>
      <t>h</t>
    </r>
  </si>
  <si>
    <t>Building Use Type:</t>
  </si>
  <si>
    <t>% Site Energy Reduction from Median:</t>
  </si>
  <si>
    <t>Energy Star Portfolio Manager Technical Reference, Greenhouse Gas Emissions, August 2018</t>
  </si>
  <si>
    <t>CO2eq Emissions (kg/MBtu)</t>
  </si>
  <si>
    <r>
      <t>Avoided GHG Emissions (MTCO</t>
    </r>
    <r>
      <rPr>
        <b/>
        <vertAlign val="subscript"/>
        <sz val="11"/>
        <color rgb="FF000000"/>
        <rFont val="Arial"/>
        <family val="2"/>
      </rPr>
      <t>2</t>
    </r>
    <r>
      <rPr>
        <b/>
        <sz val="11"/>
        <color rgb="FF000000"/>
        <rFont val="Arial"/>
        <family val="2"/>
      </rPr>
      <t>eq) :</t>
    </r>
  </si>
  <si>
    <r>
      <t>GHG (MTCO</t>
    </r>
    <r>
      <rPr>
        <vertAlign val="subscript"/>
        <sz val="10"/>
        <rFont val="Arial"/>
        <family val="2"/>
      </rPr>
      <t>2</t>
    </r>
    <r>
      <rPr>
        <sz val="10"/>
        <rFont val="Arial"/>
        <family val="2"/>
      </rPr>
      <t>eq)</t>
    </r>
  </si>
  <si>
    <r>
      <t>Metric Tons of Greenhouse Gas Emissions (MTCO</t>
    </r>
    <r>
      <rPr>
        <vertAlign val="subscript"/>
        <sz val="11"/>
        <color rgb="FF000000"/>
        <rFont val="Arial"/>
        <family val="2"/>
      </rPr>
      <t>2</t>
    </r>
    <r>
      <rPr>
        <sz val="11"/>
        <color rgb="FF000000"/>
        <rFont val="Arial"/>
        <family val="2"/>
      </rPr>
      <t>eq)</t>
    </r>
    <r>
      <rPr>
        <vertAlign val="superscript"/>
        <sz val="11"/>
        <color rgb="FF000000"/>
        <rFont val="Arial"/>
        <family val="2"/>
      </rPr>
      <t>e</t>
    </r>
    <r>
      <rPr>
        <sz val="11"/>
        <color rgb="FF000000"/>
        <rFont val="Arial"/>
        <family val="2"/>
      </rPr>
      <t>:</t>
    </r>
  </si>
  <si>
    <r>
      <t>Avoided GHG Emissions (MTCO</t>
    </r>
    <r>
      <rPr>
        <vertAlign val="subscript"/>
        <sz val="11"/>
        <color rgb="FF000000"/>
        <rFont val="Arial"/>
        <family val="2"/>
      </rPr>
      <t>2</t>
    </r>
    <r>
      <rPr>
        <sz val="11"/>
        <color rgb="FF000000"/>
        <rFont val="Arial"/>
        <family val="2"/>
      </rPr>
      <t>eq):</t>
    </r>
  </si>
  <si>
    <t>Estimated Energy Cost Savings to Median ($/yr):</t>
  </si>
  <si>
    <t>In accordance with the State Architect's office, a copy of this form must be submitted at the end of each project phase to the State Project Manager and accompany required Project Closeout documents. Acceptance by the State Project Manager is required upon review of completed Credit Verification Form.  The Checklist Workbook, and all worksheets within it, represents the HPBr compliance documentation for a project and must be maintained with the project records and submitted to the Office of the State Architect upon project close-out.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</si>
</sst>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
    <numFmt numFmtId="166" formatCode="[$$-409]#,##0"/>
    <numFmt numFmtId="167" formatCode="&quot;$&quot;#,##0"/>
    <numFmt numFmtId="168" formatCode="_(* #,##0_);_(* \(#,##0\);_(* &quot;-&quot;??_);_(@_)"/>
  </numFmts>
  <fonts count="8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Garamond"/>
      <family val="1"/>
    </font>
    <font>
      <b/>
      <sz val="10"/>
      <color indexed="9"/>
      <name val="Garamond"/>
      <family val="1"/>
    </font>
    <font>
      <b/>
      <sz val="12"/>
      <color indexed="9"/>
      <name val="Garamond"/>
      <family val="1"/>
    </font>
    <font>
      <sz val="8"/>
      <name val="Garamond"/>
      <family val="1"/>
    </font>
    <font>
      <b/>
      <sz val="10"/>
      <name val="Garamond"/>
      <family val="1"/>
    </font>
    <font>
      <b/>
      <sz val="12"/>
      <name val="Garamond"/>
      <family val="1"/>
    </font>
    <font>
      <b/>
      <sz val="10"/>
      <name val="Arial"/>
      <family val="2"/>
    </font>
    <font>
      <b/>
      <sz val="10"/>
      <name val="Arial"/>
      <family val="2"/>
    </font>
    <font>
      <sz val="12"/>
      <name val="Arial"/>
      <family val="2"/>
    </font>
    <font>
      <b/>
      <sz val="11"/>
      <name val="Garamond"/>
      <family val="1"/>
    </font>
    <font>
      <b/>
      <sz val="18"/>
      <name val="Garamond"/>
      <family val="1"/>
    </font>
    <font>
      <b/>
      <sz val="20"/>
      <name val="Garamond"/>
      <family val="1"/>
    </font>
    <font>
      <b/>
      <sz val="12"/>
      <name val="Arial"/>
      <family val="2"/>
    </font>
    <font>
      <b/>
      <sz val="16"/>
      <color indexed="9"/>
      <name val="Arial"/>
      <family val="2"/>
    </font>
    <font>
      <sz val="10"/>
      <name val="Arial"/>
      <family val="2"/>
    </font>
    <font>
      <b/>
      <sz val="14"/>
      <name val="Arial"/>
      <family val="2"/>
    </font>
    <font>
      <sz val="16"/>
      <name val="Arial"/>
      <family val="2"/>
    </font>
    <font>
      <b/>
      <sz val="12"/>
      <color indexed="9"/>
      <name val="Arial"/>
      <family val="2"/>
    </font>
    <font>
      <u/>
      <sz val="12"/>
      <name val="Arial"/>
      <family val="2"/>
    </font>
    <font>
      <sz val="12"/>
      <name val="Arial"/>
      <family val="2"/>
    </font>
    <font>
      <b/>
      <sz val="8"/>
      <color indexed="63"/>
      <name val="Arial"/>
      <family val="2"/>
    </font>
    <font>
      <sz val="8"/>
      <color indexed="63"/>
      <name val="Arial"/>
      <family val="2"/>
    </font>
    <font>
      <b/>
      <sz val="9"/>
      <name val="Arial"/>
      <family val="2"/>
    </font>
    <font>
      <sz val="9"/>
      <name val="Arial"/>
      <family val="2"/>
    </font>
    <font>
      <sz val="8"/>
      <name val="Arial"/>
      <family val="2"/>
    </font>
    <font>
      <sz val="10"/>
      <color indexed="9"/>
      <name val="Arial"/>
      <family val="2"/>
    </font>
    <font>
      <b/>
      <sz val="8"/>
      <name val="Arial"/>
      <family val="2"/>
    </font>
    <font>
      <b/>
      <sz val="12"/>
      <color indexed="10"/>
      <name val="Arial"/>
      <family val="2"/>
    </font>
    <font>
      <sz val="8"/>
      <name val="Arial"/>
      <family val="2"/>
    </font>
    <font>
      <u/>
      <sz val="10"/>
      <name val="Arial"/>
      <family val="2"/>
    </font>
    <font>
      <sz val="10"/>
      <color indexed="63"/>
      <name val="Arial"/>
      <family val="2"/>
    </font>
    <font>
      <b/>
      <vertAlign val="subscript"/>
      <sz val="9"/>
      <name val="Arial"/>
      <family val="2"/>
    </font>
    <font>
      <sz val="10"/>
      <color indexed="10"/>
      <name val="Arial"/>
      <family val="2"/>
    </font>
    <font>
      <b/>
      <sz val="10"/>
      <color indexed="10"/>
      <name val="Arial"/>
      <family val="2"/>
    </font>
    <font>
      <sz val="8"/>
      <color indexed="81"/>
      <name val="Tahoma"/>
      <family val="2"/>
    </font>
    <font>
      <sz val="12"/>
      <color indexed="81"/>
      <name val="Tahoma"/>
      <family val="2"/>
    </font>
    <font>
      <sz val="28"/>
      <name val="Garamond"/>
      <family val="1"/>
    </font>
    <font>
      <sz val="11"/>
      <color indexed="8"/>
      <name val="Calibri"/>
      <family val="2"/>
    </font>
    <font>
      <b/>
      <sz val="18"/>
      <name val="Arial"/>
      <family val="2"/>
    </font>
    <font>
      <b/>
      <sz val="20"/>
      <name val="Arial"/>
      <family val="2"/>
    </font>
    <font>
      <b/>
      <sz val="10"/>
      <color indexed="9"/>
      <name val="Arial"/>
      <family val="2"/>
    </font>
    <font>
      <b/>
      <sz val="11"/>
      <name val="Arial"/>
      <family val="2"/>
    </font>
    <font>
      <sz val="18"/>
      <name val="Arial"/>
      <family val="2"/>
    </font>
    <font>
      <b/>
      <sz val="11"/>
      <color theme="0"/>
      <name val="Arial"/>
      <family val="2"/>
    </font>
    <font>
      <sz val="10"/>
      <color theme="0" tint="-0.499984740745262"/>
      <name val="Arial"/>
      <family val="2"/>
    </font>
    <font>
      <b/>
      <sz val="12"/>
      <color theme="0" tint="-0.499984740745262"/>
      <name val="Arial"/>
      <family val="2"/>
    </font>
    <font>
      <sz val="10"/>
      <color rgb="FFFF0000"/>
      <name val="Arial"/>
      <family val="2"/>
    </font>
    <font>
      <b/>
      <sz val="10"/>
      <color rgb="FFFF0000"/>
      <name val="Arial"/>
      <family val="2"/>
    </font>
    <font>
      <sz val="8"/>
      <color rgb="FFFF0000"/>
      <name val="Arial"/>
      <family val="2"/>
    </font>
    <font>
      <sz val="10"/>
      <color rgb="FF008000"/>
      <name val="Arial"/>
      <family val="2"/>
    </font>
    <font>
      <b/>
      <sz val="10"/>
      <color rgb="FF008000"/>
      <name val="Arial"/>
      <family val="2"/>
    </font>
    <font>
      <sz val="8"/>
      <color rgb="FF008000"/>
      <name val="Arial"/>
      <family val="2"/>
    </font>
    <font>
      <sz val="11"/>
      <name val="Arial"/>
      <family val="2"/>
    </font>
    <font>
      <sz val="9"/>
      <color indexed="81"/>
      <name val="Tahoma"/>
      <family val="2"/>
    </font>
    <font>
      <b/>
      <sz val="10"/>
      <color theme="1"/>
      <name val="Arial"/>
      <family val="2"/>
    </font>
    <font>
      <sz val="8"/>
      <color theme="1"/>
      <name val="Arial"/>
      <family val="2"/>
    </font>
    <font>
      <sz val="10"/>
      <color theme="1"/>
      <name val="Arial"/>
      <family val="2"/>
    </font>
    <font>
      <b/>
      <sz val="9"/>
      <color indexed="81"/>
      <name val="Tahoma"/>
      <family val="2"/>
    </font>
    <font>
      <b/>
      <sz val="12"/>
      <color rgb="FFFF0000"/>
      <name val="Arial"/>
      <family val="2"/>
    </font>
    <font>
      <b/>
      <sz val="12"/>
      <color theme="0"/>
      <name val="Arial"/>
      <family val="2"/>
    </font>
    <font>
      <b/>
      <i/>
      <sz val="10"/>
      <color indexed="9"/>
      <name val="Arial"/>
      <family val="2"/>
    </font>
    <font>
      <sz val="11"/>
      <color rgb="FF3F3F76"/>
      <name val="Calibri"/>
      <family val="2"/>
      <scheme val="minor"/>
    </font>
    <font>
      <b/>
      <sz val="11"/>
      <color theme="1"/>
      <name val="Calibri"/>
      <family val="2"/>
      <scheme val="minor"/>
    </font>
    <font>
      <b/>
      <sz val="10"/>
      <color rgb="FF000000"/>
      <name val="Arial"/>
      <family val="2"/>
    </font>
    <font>
      <sz val="10"/>
      <color rgb="FF000000"/>
      <name val="Arial"/>
      <family val="2"/>
    </font>
    <font>
      <b/>
      <sz val="11"/>
      <color rgb="FF000000"/>
      <name val="Arial"/>
      <family val="2"/>
    </font>
    <font>
      <sz val="11"/>
      <color rgb="FF000000"/>
      <name val="Arial"/>
      <family val="2"/>
    </font>
    <font>
      <vertAlign val="subscript"/>
      <sz val="10"/>
      <name val="Arial"/>
      <family val="2"/>
    </font>
    <font>
      <b/>
      <sz val="11"/>
      <name val="Calibri"/>
      <family val="2"/>
    </font>
    <font>
      <sz val="11"/>
      <name val="Calibri"/>
      <family val="2"/>
    </font>
    <font>
      <b/>
      <sz val="11"/>
      <color theme="1" tint="4.9989318521683403E-2"/>
      <name val="Arial"/>
      <family val="2"/>
    </font>
    <font>
      <b/>
      <vertAlign val="superscript"/>
      <sz val="11"/>
      <color rgb="FF000000"/>
      <name val="Arial"/>
      <family val="2"/>
    </font>
    <font>
      <vertAlign val="superscript"/>
      <sz val="11"/>
      <color rgb="FF000000"/>
      <name val="Arial"/>
      <family val="2"/>
    </font>
    <font>
      <b/>
      <vertAlign val="superscript"/>
      <sz val="11"/>
      <color theme="0"/>
      <name val="Arial"/>
      <family val="2"/>
    </font>
    <font>
      <b/>
      <sz val="10"/>
      <color theme="9" tint="-0.249977111117893"/>
      <name val="Arial"/>
      <family val="2"/>
    </font>
    <font>
      <sz val="10"/>
      <color rgb="FF00B050"/>
      <name val="Arial"/>
      <family val="2"/>
    </font>
    <font>
      <vertAlign val="subscript"/>
      <sz val="11"/>
      <color rgb="FF000000"/>
      <name val="Arial"/>
      <family val="2"/>
    </font>
    <font>
      <b/>
      <vertAlign val="subscript"/>
      <sz val="11"/>
      <color rgb="FF000000"/>
      <name val="Arial"/>
      <family val="2"/>
    </font>
    <font>
      <b/>
      <i/>
      <sz val="11"/>
      <color rgb="FF000000"/>
      <name val="Arial"/>
      <family val="2"/>
    </font>
    <font>
      <sz val="10"/>
      <color theme="0"/>
      <name val="Arial"/>
      <family val="2"/>
    </font>
  </fonts>
  <fills count="31">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indexed="10"/>
        <bgColor indexed="64"/>
      </patternFill>
    </fill>
    <fill>
      <patternFill patternType="solid">
        <fgColor indexed="17"/>
        <bgColor indexed="64"/>
      </patternFill>
    </fill>
    <fill>
      <patternFill patternType="solid">
        <fgColor indexed="42"/>
        <bgColor indexed="64"/>
      </patternFill>
    </fill>
    <fill>
      <patternFill patternType="solid">
        <fgColor indexed="18"/>
        <bgColor indexed="64"/>
      </patternFill>
    </fill>
    <fill>
      <patternFill patternType="solid">
        <fgColor indexed="20"/>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rgb="FFFFC000"/>
        <bgColor indexed="64"/>
      </patternFill>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rgb="FFFFCC99"/>
      </patternFill>
    </fill>
    <fill>
      <patternFill patternType="solid">
        <fgColor theme="3"/>
        <bgColor indexed="64"/>
      </patternFill>
    </fill>
    <fill>
      <patternFill patternType="solid">
        <fgColor rgb="FFE4E4E4"/>
        <bgColor indexed="64"/>
      </patternFill>
    </fill>
    <fill>
      <patternFill patternType="solid">
        <fgColor rgb="FFF4F4F4"/>
        <bgColor indexed="64"/>
      </patternFill>
    </fill>
    <fill>
      <patternFill patternType="solid">
        <fgColor rgb="FF00B0F0"/>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rgb="FFFADD2E"/>
        <bgColor indexed="64"/>
      </patternFill>
    </fill>
    <fill>
      <patternFill patternType="solid">
        <fgColor theme="6" tint="0.79998168889431442"/>
        <bgColor indexed="64"/>
      </patternFill>
    </fill>
    <fill>
      <patternFill patternType="solid">
        <fgColor theme="3" tint="0.79998168889431442"/>
        <bgColor indexed="64"/>
      </patternFill>
    </fill>
  </fills>
  <borders count="14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indexed="64"/>
      </left>
      <right/>
      <top/>
      <bottom/>
      <diagonal/>
    </border>
    <border>
      <left style="thin">
        <color indexed="64"/>
      </left>
      <right style="thin">
        <color indexed="55"/>
      </right>
      <top/>
      <bottom style="thin">
        <color indexed="64"/>
      </bottom>
      <diagonal/>
    </border>
    <border>
      <left style="thin">
        <color indexed="55"/>
      </left>
      <right/>
      <top/>
      <bottom style="thin">
        <color indexed="64"/>
      </bottom>
      <diagonal/>
    </border>
    <border>
      <left/>
      <right/>
      <top/>
      <bottom style="thin">
        <color indexed="64"/>
      </bottom>
      <diagonal/>
    </border>
    <border>
      <left style="thin">
        <color indexed="64"/>
      </left>
      <right style="hair">
        <color indexed="55"/>
      </right>
      <top/>
      <bottom style="thin">
        <color indexed="64"/>
      </bottom>
      <diagonal/>
    </border>
    <border>
      <left style="hair">
        <color indexed="55"/>
      </left>
      <right style="hair">
        <color indexed="55"/>
      </right>
      <top/>
      <bottom style="thin">
        <color indexed="64"/>
      </bottom>
      <diagonal/>
    </border>
    <border>
      <left style="hair">
        <color indexed="55"/>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hair">
        <color indexed="64"/>
      </right>
      <top style="hair">
        <color indexed="55"/>
      </top>
      <bottom style="hair">
        <color indexed="55"/>
      </bottom>
      <diagonal/>
    </border>
    <border>
      <left style="hair">
        <color indexed="64"/>
      </left>
      <right style="medium">
        <color indexed="64"/>
      </right>
      <top style="hair">
        <color indexed="55"/>
      </top>
      <bottom style="hair">
        <color indexed="55"/>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style="hair">
        <color indexed="55"/>
      </top>
      <bottom style="thin">
        <color indexed="64"/>
      </bottom>
      <diagonal/>
    </border>
    <border>
      <left style="hair">
        <color indexed="64"/>
      </left>
      <right style="medium">
        <color indexed="64"/>
      </right>
      <top style="hair">
        <color indexed="55"/>
      </top>
      <bottom style="thin">
        <color indexed="64"/>
      </bottom>
      <diagonal/>
    </border>
    <border>
      <left style="hair">
        <color indexed="64"/>
      </left>
      <right style="hair">
        <color indexed="64"/>
      </right>
      <top/>
      <bottom style="hair">
        <color indexed="55"/>
      </bottom>
      <diagonal/>
    </border>
    <border>
      <left style="hair">
        <color indexed="64"/>
      </left>
      <right style="hair">
        <color indexed="64"/>
      </right>
      <top style="thin">
        <color indexed="64"/>
      </top>
      <bottom style="hair">
        <color indexed="55"/>
      </bottom>
      <diagonal/>
    </border>
    <border>
      <left style="medium">
        <color indexed="64"/>
      </left>
      <right style="hair">
        <color indexed="64"/>
      </right>
      <top style="thin">
        <color indexed="64"/>
      </top>
      <bottom/>
      <diagonal/>
    </border>
    <border>
      <left style="medium">
        <color indexed="64"/>
      </left>
      <right style="hair">
        <color indexed="64"/>
      </right>
      <top style="hair">
        <color indexed="55"/>
      </top>
      <bottom style="hair">
        <color indexed="55"/>
      </bottom>
      <diagonal/>
    </border>
    <border>
      <left style="medium">
        <color indexed="64"/>
      </left>
      <right style="hair">
        <color indexed="64"/>
      </right>
      <top/>
      <bottom style="thin">
        <color indexed="64"/>
      </bottom>
      <diagonal/>
    </border>
    <border>
      <left style="medium">
        <color indexed="64"/>
      </left>
      <right style="hair">
        <color indexed="64"/>
      </right>
      <top/>
      <bottom/>
      <diagonal/>
    </border>
    <border>
      <left style="medium">
        <color indexed="64"/>
      </left>
      <right style="hair">
        <color indexed="64"/>
      </right>
      <top style="hair">
        <color indexed="55"/>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hair">
        <color indexed="55"/>
      </bottom>
      <diagonal/>
    </border>
    <border>
      <left/>
      <right/>
      <top style="thin">
        <color indexed="64"/>
      </top>
      <bottom style="hair">
        <color indexed="55"/>
      </bottom>
      <diagonal/>
    </border>
    <border>
      <left style="thin">
        <color indexed="64"/>
      </left>
      <right/>
      <top style="thin">
        <color indexed="64"/>
      </top>
      <bottom style="hair">
        <color indexed="55"/>
      </bottom>
      <diagonal/>
    </border>
    <border>
      <left/>
      <right style="thin">
        <color indexed="64"/>
      </right>
      <top style="thin">
        <color indexed="64"/>
      </top>
      <bottom style="hair">
        <color indexed="55"/>
      </bottom>
      <diagonal/>
    </border>
    <border>
      <left style="thin">
        <color indexed="64"/>
      </left>
      <right style="thin">
        <color indexed="64"/>
      </right>
      <top style="hair">
        <color indexed="55"/>
      </top>
      <bottom style="hair">
        <color indexed="55"/>
      </bottom>
      <diagonal/>
    </border>
    <border>
      <left/>
      <right/>
      <top style="hair">
        <color indexed="55"/>
      </top>
      <bottom style="hair">
        <color indexed="55"/>
      </bottom>
      <diagonal/>
    </border>
    <border>
      <left style="thin">
        <color indexed="64"/>
      </left>
      <right style="hair">
        <color indexed="55"/>
      </right>
      <top style="hair">
        <color indexed="55"/>
      </top>
      <bottom style="hair">
        <color indexed="55"/>
      </bottom>
      <diagonal/>
    </border>
    <border>
      <left style="hair">
        <color indexed="55"/>
      </left>
      <right style="hair">
        <color indexed="55"/>
      </right>
      <top style="hair">
        <color indexed="55"/>
      </top>
      <bottom style="hair">
        <color indexed="55"/>
      </bottom>
      <diagonal/>
    </border>
    <border>
      <left style="hair">
        <color indexed="55"/>
      </left>
      <right style="thin">
        <color indexed="64"/>
      </right>
      <top style="hair">
        <color indexed="55"/>
      </top>
      <bottom style="hair">
        <color indexed="55"/>
      </bottom>
      <diagonal/>
    </border>
    <border>
      <left style="thin">
        <color indexed="64"/>
      </left>
      <right style="thin">
        <color indexed="64"/>
      </right>
      <top style="hair">
        <color indexed="55"/>
      </top>
      <bottom style="thin">
        <color indexed="64"/>
      </bottom>
      <diagonal/>
    </border>
    <border>
      <left/>
      <right/>
      <top style="hair">
        <color indexed="55"/>
      </top>
      <bottom style="thin">
        <color indexed="64"/>
      </bottom>
      <diagonal/>
    </border>
    <border>
      <left style="thin">
        <color indexed="64"/>
      </left>
      <right style="hair">
        <color indexed="55"/>
      </right>
      <top style="hair">
        <color indexed="55"/>
      </top>
      <bottom style="thin">
        <color indexed="64"/>
      </bottom>
      <diagonal/>
    </border>
    <border>
      <left style="hair">
        <color indexed="55"/>
      </left>
      <right style="hair">
        <color indexed="55"/>
      </right>
      <top style="hair">
        <color indexed="55"/>
      </top>
      <bottom style="thin">
        <color indexed="64"/>
      </bottom>
      <diagonal/>
    </border>
    <border>
      <left style="hair">
        <color indexed="55"/>
      </left>
      <right style="thin">
        <color indexed="64"/>
      </right>
      <top style="hair">
        <color indexed="55"/>
      </top>
      <bottom style="thin">
        <color indexed="64"/>
      </bottom>
      <diagonal/>
    </border>
    <border>
      <left style="thin">
        <color indexed="64"/>
      </left>
      <right/>
      <top style="hair">
        <color indexed="55"/>
      </top>
      <bottom style="hair">
        <color indexed="55"/>
      </bottom>
      <diagonal/>
    </border>
    <border>
      <left/>
      <right style="thin">
        <color indexed="64"/>
      </right>
      <top style="hair">
        <color indexed="55"/>
      </top>
      <bottom style="hair">
        <color indexed="55"/>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55"/>
      </right>
      <top/>
      <bottom/>
      <diagonal/>
    </border>
    <border>
      <left style="thin">
        <color indexed="55"/>
      </left>
      <right/>
      <top/>
      <bottom/>
      <diagonal/>
    </border>
    <border>
      <left style="medium">
        <color indexed="64"/>
      </left>
      <right/>
      <top/>
      <bottom/>
      <diagonal/>
    </border>
    <border>
      <left style="medium">
        <color indexed="64"/>
      </left>
      <right/>
      <top/>
      <bottom style="medium">
        <color indexed="64"/>
      </bottom>
      <diagonal/>
    </border>
    <border>
      <left style="thin">
        <color indexed="55"/>
      </left>
      <right style="thin">
        <color indexed="55"/>
      </right>
      <top/>
      <bottom/>
      <diagonal/>
    </border>
    <border>
      <left style="thin">
        <color indexed="55"/>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theme="0" tint="-0.34998626667073579"/>
      </right>
      <top style="thin">
        <color indexed="64"/>
      </top>
      <bottom style="hair">
        <color theme="0" tint="-0.34998626667073579"/>
      </bottom>
      <diagonal/>
    </border>
    <border>
      <left style="hair">
        <color theme="0" tint="-0.34998626667073579"/>
      </left>
      <right style="thin">
        <color indexed="64"/>
      </right>
      <top style="thin">
        <color indexed="64"/>
      </top>
      <bottom style="hair">
        <color theme="0" tint="-0.34998626667073579"/>
      </bottom>
      <diagonal/>
    </border>
    <border>
      <left style="hair">
        <color theme="0" tint="-0.34998626667073579"/>
      </left>
      <right style="hair">
        <color theme="0" tint="-0.34998626667073579"/>
      </right>
      <top style="thin">
        <color indexed="64"/>
      </top>
      <bottom style="hair">
        <color theme="0" tint="-0.34998626667073579"/>
      </bottom>
      <diagonal/>
    </border>
    <border>
      <left style="thin">
        <color indexed="64"/>
      </left>
      <right style="hair">
        <color theme="0" tint="-0.34998626667073579"/>
      </right>
      <top style="hair">
        <color theme="0" tint="-0.34998626667073579"/>
      </top>
      <bottom style="hair">
        <color theme="0" tint="-0.34998626667073579"/>
      </bottom>
      <diagonal/>
    </border>
    <border>
      <left style="hair">
        <color theme="0" tint="-0.34998626667073579"/>
      </left>
      <right style="thin">
        <color indexed="64"/>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n">
        <color indexed="64"/>
      </left>
      <right style="hair">
        <color theme="0" tint="-0.34998626667073579"/>
      </right>
      <top style="hair">
        <color theme="0" tint="-0.34998626667073579"/>
      </top>
      <bottom style="thin">
        <color indexed="64"/>
      </bottom>
      <diagonal/>
    </border>
    <border>
      <left style="hair">
        <color theme="0" tint="-0.34998626667073579"/>
      </left>
      <right style="thin">
        <color indexed="64"/>
      </right>
      <top style="hair">
        <color theme="0" tint="-0.34998626667073579"/>
      </top>
      <bottom style="thin">
        <color indexed="64"/>
      </bottom>
      <diagonal/>
    </border>
    <border>
      <left style="hair">
        <color theme="0" tint="-0.34998626667073579"/>
      </left>
      <right style="hair">
        <color theme="0" tint="-0.34998626667073579"/>
      </right>
      <top style="hair">
        <color theme="0" tint="-0.34998626667073579"/>
      </top>
      <bottom style="thin">
        <color indexed="64"/>
      </bottom>
      <diagonal/>
    </border>
    <border>
      <left style="thin">
        <color indexed="64"/>
      </left>
      <right style="hair">
        <color theme="0" tint="-0.34998626667073579"/>
      </right>
      <top/>
      <bottom style="hair">
        <color theme="0" tint="-0.34998626667073579"/>
      </bottom>
      <diagonal/>
    </border>
    <border>
      <left style="hair">
        <color theme="0" tint="-0.34998626667073579"/>
      </left>
      <right style="hair">
        <color theme="0" tint="-0.34998626667073579"/>
      </right>
      <top/>
      <bottom style="hair">
        <color theme="0" tint="-0.34998626667073579"/>
      </bottom>
      <diagonal/>
    </border>
    <border>
      <left style="thin">
        <color indexed="64"/>
      </left>
      <right style="hair">
        <color theme="0" tint="-0.34998626667073579"/>
      </right>
      <top style="hair">
        <color theme="0" tint="-0.34998626667073579"/>
      </top>
      <bottom/>
      <diagonal/>
    </border>
    <border>
      <left style="hair">
        <color theme="0" tint="-0.34998626667073579"/>
      </left>
      <right style="thin">
        <color indexed="64"/>
      </right>
      <top style="hair">
        <color theme="0" tint="-0.34998626667073579"/>
      </top>
      <bottom/>
      <diagonal/>
    </border>
    <border>
      <left style="hair">
        <color theme="0" tint="-0.34998626667073579"/>
      </left>
      <right style="hair">
        <color theme="0" tint="-0.34998626667073579"/>
      </right>
      <top style="hair">
        <color theme="0" tint="-0.34998626667073579"/>
      </top>
      <bottom/>
      <diagonal/>
    </border>
    <border>
      <left style="thin">
        <color indexed="64"/>
      </left>
      <right style="hair">
        <color theme="0" tint="-0.34998626667073579"/>
      </right>
      <top style="thin">
        <color indexed="64"/>
      </top>
      <bottom style="thin">
        <color indexed="64"/>
      </bottom>
      <diagonal/>
    </border>
    <border>
      <left style="hair">
        <color theme="0" tint="-0.34998626667073579"/>
      </left>
      <right style="hair">
        <color theme="0" tint="-0.34998626667073579"/>
      </right>
      <top style="thin">
        <color indexed="64"/>
      </top>
      <bottom style="thin">
        <color indexed="64"/>
      </bottom>
      <diagonal/>
    </border>
    <border>
      <left style="thin">
        <color indexed="64"/>
      </left>
      <right style="thin">
        <color indexed="55"/>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thin">
        <color indexed="55"/>
      </left>
      <right style="thin">
        <color indexed="64"/>
      </right>
      <top style="thin">
        <color indexed="64"/>
      </top>
      <bottom style="thin">
        <color indexed="64"/>
      </bottom>
      <diagonal/>
    </border>
    <border>
      <left style="thin">
        <color indexed="64"/>
      </left>
      <right style="thin">
        <color indexed="55"/>
      </right>
      <top style="thin">
        <color indexed="64"/>
      </top>
      <bottom/>
      <diagonal/>
    </border>
    <border>
      <left style="thin">
        <color indexed="55"/>
      </left>
      <right/>
      <top style="thin">
        <color indexed="64"/>
      </top>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theme="0" tint="-0.34998626667073579"/>
      </right>
      <top style="thin">
        <color indexed="64"/>
      </top>
      <bottom style="hair">
        <color theme="0" tint="-0.34998626667073579"/>
      </bottom>
      <diagonal/>
    </border>
    <border>
      <left/>
      <right style="hair">
        <color theme="0" tint="-0.34998626667073579"/>
      </right>
      <top style="hair">
        <color theme="0" tint="-0.34998626667073579"/>
      </top>
      <bottom style="hair">
        <color theme="0" tint="-0.34998626667073579"/>
      </bottom>
      <diagonal/>
    </border>
    <border>
      <left/>
      <right style="hair">
        <color theme="0" tint="-0.34998626667073579"/>
      </right>
      <top style="hair">
        <color theme="0" tint="-0.34998626667073579"/>
      </top>
      <bottom style="thin">
        <color indexed="64"/>
      </bottom>
      <diagonal/>
    </border>
    <border>
      <left/>
      <right style="hair">
        <color theme="0" tint="-0.34998626667073579"/>
      </right>
      <top/>
      <bottom style="hair">
        <color theme="0" tint="-0.34998626667073579"/>
      </bottom>
      <diagonal/>
    </border>
    <border>
      <left/>
      <right style="hair">
        <color theme="0" tint="-0.34998626667073579"/>
      </right>
      <top style="hair">
        <color theme="0" tint="-0.34998626667073579"/>
      </top>
      <bottom/>
      <diagonal/>
    </border>
    <border>
      <left/>
      <right style="hair">
        <color theme="0" tint="-0.34998626667073579"/>
      </right>
      <top style="thin">
        <color indexed="64"/>
      </top>
      <bottom style="thin">
        <color indexed="64"/>
      </bottom>
      <diagonal/>
    </border>
    <border>
      <left style="thin">
        <color indexed="64"/>
      </left>
      <right style="hair">
        <color indexed="64"/>
      </right>
      <top style="thin">
        <color indexed="64"/>
      </top>
      <bottom style="hair">
        <color theme="0" tint="-0.34998626667073579"/>
      </bottom>
      <diagonal/>
    </border>
    <border>
      <left style="thin">
        <color indexed="64"/>
      </left>
      <right style="hair">
        <color indexed="64"/>
      </right>
      <top style="hair">
        <color theme="0" tint="-0.34998626667073579"/>
      </top>
      <bottom style="hair">
        <color theme="0" tint="-0.34998626667073579"/>
      </bottom>
      <diagonal/>
    </border>
    <border>
      <left style="thin">
        <color indexed="64"/>
      </left>
      <right style="hair">
        <color indexed="64"/>
      </right>
      <top style="hair">
        <color theme="0" tint="-0.34998626667073579"/>
      </top>
      <bottom style="thin">
        <color indexed="64"/>
      </bottom>
      <diagonal/>
    </border>
    <border>
      <left style="thin">
        <color indexed="64"/>
      </left>
      <right style="hair">
        <color indexed="64"/>
      </right>
      <top/>
      <bottom style="hair">
        <color theme="0" tint="-0.34998626667073579"/>
      </bottom>
      <diagonal/>
    </border>
    <border>
      <left style="thin">
        <color indexed="64"/>
      </left>
      <right style="hair">
        <color indexed="64"/>
      </right>
      <top style="hair">
        <color theme="0" tint="-0.34998626667073579"/>
      </top>
      <bottom/>
      <diagonal/>
    </border>
    <border>
      <left style="thin">
        <color indexed="64"/>
      </left>
      <right style="hair">
        <color indexed="64"/>
      </right>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xf numFmtId="43" fontId="8" fillId="0" borderId="0" applyFont="0" applyFill="0" applyBorder="0" applyAlignment="0" applyProtection="0"/>
    <xf numFmtId="9" fontId="8" fillId="0" borderId="0" applyFont="0" applyFill="0" applyBorder="0" applyAlignment="0" applyProtection="0"/>
    <xf numFmtId="9" fontId="46" fillId="0" borderId="0" applyFont="0" applyFill="0" applyBorder="0" applyAlignment="0" applyProtection="0"/>
    <xf numFmtId="0" fontId="70" fillId="19" borderId="130" applyNumberFormat="0" applyAlignment="0" applyProtection="0"/>
    <xf numFmtId="0" fontId="8" fillId="0" borderId="0"/>
    <xf numFmtId="0" fontId="7" fillId="0" borderId="0"/>
  </cellStyleXfs>
  <cellXfs count="943">
    <xf numFmtId="0" fontId="0" fillId="0" borderId="0" xfId="0"/>
    <xf numFmtId="0" fontId="24" fillId="0" borderId="0" xfId="0" applyFont="1" applyAlignment="1">
      <alignment vertical="center"/>
    </xf>
    <xf numFmtId="0" fontId="21" fillId="0" borderId="0" xfId="0" applyFont="1" applyFill="1" applyAlignment="1">
      <alignment horizontal="left" vertical="center" wrapText="1"/>
    </xf>
    <xf numFmtId="0" fontId="23" fillId="0" borderId="0" xfId="0" applyFont="1" applyFill="1" applyAlignment="1">
      <alignment horizontal="left" vertical="center" wrapText="1"/>
    </xf>
    <xf numFmtId="0" fontId="23" fillId="0" borderId="0" xfId="0" applyFont="1" applyAlignment="1">
      <alignment vertical="center"/>
    </xf>
    <xf numFmtId="0" fontId="23" fillId="0" borderId="0" xfId="0" applyFont="1"/>
    <xf numFmtId="0" fontId="34" fillId="0" borderId="0" xfId="0" applyFont="1" applyAlignment="1">
      <alignment vertical="center"/>
    </xf>
    <xf numFmtId="0" fontId="23" fillId="0" borderId="0" xfId="0" applyFont="1" applyFill="1" applyAlignment="1">
      <alignment vertical="center"/>
    </xf>
    <xf numFmtId="0" fontId="33" fillId="0" borderId="0" xfId="0" applyFont="1" applyFill="1" applyAlignment="1">
      <alignment vertical="center"/>
    </xf>
    <xf numFmtId="9" fontId="23" fillId="0" borderId="0" xfId="0" applyNumberFormat="1" applyFont="1" applyAlignment="1">
      <alignment vertical="center"/>
    </xf>
    <xf numFmtId="9" fontId="23" fillId="0" borderId="0" xfId="0" applyNumberFormat="1" applyFont="1" applyBorder="1" applyAlignment="1">
      <alignment vertical="center" wrapText="1"/>
    </xf>
    <xf numFmtId="49" fontId="21" fillId="0" borderId="0" xfId="0" applyNumberFormat="1" applyFont="1" applyFill="1" applyBorder="1" applyAlignment="1">
      <alignment horizontal="left" vertical="center"/>
    </xf>
    <xf numFmtId="0" fontId="23" fillId="0" borderId="0" xfId="0" applyFont="1" applyBorder="1" applyAlignment="1">
      <alignment vertical="center"/>
    </xf>
    <xf numFmtId="0" fontId="0" fillId="0" borderId="0" xfId="0" applyBorder="1" applyProtection="1">
      <protection hidden="1"/>
    </xf>
    <xf numFmtId="0" fontId="0" fillId="0" borderId="0" xfId="0" applyBorder="1" applyAlignment="1" applyProtection="1">
      <alignment horizontal="center" vertical="center" wrapText="1"/>
      <protection hidden="1"/>
    </xf>
    <xf numFmtId="37" fontId="23" fillId="12" borderId="31" xfId="1" applyNumberFormat="1" applyFont="1" applyFill="1" applyBorder="1" applyAlignment="1" applyProtection="1">
      <alignment horizontal="right" vertical="center" wrapText="1"/>
      <protection locked="0" hidden="1"/>
    </xf>
    <xf numFmtId="0" fontId="23" fillId="12" borderId="32" xfId="0" applyFont="1" applyFill="1" applyBorder="1" applyAlignment="1" applyProtection="1">
      <alignment horizontal="right" vertical="center"/>
      <protection locked="0" hidden="1"/>
    </xf>
    <xf numFmtId="37" fontId="23" fillId="12" borderId="33" xfId="1" applyNumberFormat="1" applyFont="1" applyFill="1" applyBorder="1" applyAlignment="1" applyProtection="1">
      <alignment horizontal="right" vertical="center" wrapText="1"/>
      <protection locked="0" hidden="1"/>
    </xf>
    <xf numFmtId="0" fontId="23" fillId="12" borderId="34" xfId="0" applyFont="1" applyFill="1" applyBorder="1" applyAlignment="1" applyProtection="1">
      <alignment horizontal="right" vertical="center"/>
      <protection locked="0" hidden="1"/>
    </xf>
    <xf numFmtId="37" fontId="23" fillId="12" borderId="35" xfId="1" applyNumberFormat="1" applyFont="1" applyFill="1" applyBorder="1" applyAlignment="1" applyProtection="1">
      <alignment horizontal="right" vertical="center" wrapText="1"/>
      <protection locked="0" hidden="1"/>
    </xf>
    <xf numFmtId="0" fontId="23" fillId="12" borderId="36" xfId="0" applyFont="1" applyFill="1" applyBorder="1" applyAlignment="1" applyProtection="1">
      <alignment horizontal="right" vertical="center"/>
      <protection locked="0" hidden="1"/>
    </xf>
    <xf numFmtId="37" fontId="23" fillId="12" borderId="37" xfId="1" applyNumberFormat="1" applyFont="1" applyFill="1" applyBorder="1" applyAlignment="1" applyProtection="1">
      <alignment horizontal="right" vertical="center" wrapText="1"/>
      <protection locked="0" hidden="1"/>
    </xf>
    <xf numFmtId="0" fontId="23" fillId="12" borderId="38" xfId="0" applyFont="1" applyFill="1" applyBorder="1" applyAlignment="1" applyProtection="1">
      <alignment horizontal="right" vertical="center"/>
      <protection locked="0" hidden="1"/>
    </xf>
    <xf numFmtId="37" fontId="23" fillId="12" borderId="39" xfId="1" applyNumberFormat="1" applyFont="1" applyFill="1" applyBorder="1" applyAlignment="1" applyProtection="1">
      <alignment horizontal="right" vertical="center" wrapText="1"/>
      <protection locked="0" hidden="1"/>
    </xf>
    <xf numFmtId="0" fontId="23" fillId="12" borderId="40" xfId="0" applyFont="1" applyFill="1" applyBorder="1" applyAlignment="1" applyProtection="1">
      <alignment horizontal="right" vertical="center"/>
      <protection locked="0" hidden="1"/>
    </xf>
    <xf numFmtId="164" fontId="23" fillId="12" borderId="31" xfId="0" applyNumberFormat="1" applyFont="1" applyFill="1" applyBorder="1" applyAlignment="1" applyProtection="1">
      <alignment horizontal="center" vertical="center" wrapText="1"/>
      <protection locked="0" hidden="1"/>
    </xf>
    <xf numFmtId="164" fontId="23" fillId="12" borderId="33" xfId="0" applyNumberFormat="1" applyFont="1" applyFill="1" applyBorder="1" applyAlignment="1" applyProtection="1">
      <alignment horizontal="center" vertical="center" wrapText="1"/>
      <protection locked="0" hidden="1"/>
    </xf>
    <xf numFmtId="164" fontId="23" fillId="12" borderId="35" xfId="0" applyNumberFormat="1" applyFont="1" applyFill="1" applyBorder="1" applyAlignment="1" applyProtection="1">
      <alignment horizontal="center" vertical="center" wrapText="1"/>
      <protection locked="0" hidden="1"/>
    </xf>
    <xf numFmtId="164" fontId="23" fillId="12" borderId="37" xfId="0" applyNumberFormat="1" applyFont="1" applyFill="1" applyBorder="1" applyAlignment="1" applyProtection="1">
      <alignment horizontal="center" vertical="center" wrapText="1"/>
      <protection locked="0" hidden="1"/>
    </xf>
    <xf numFmtId="3" fontId="23" fillId="12" borderId="35" xfId="1" applyNumberFormat="1" applyFont="1" applyFill="1" applyBorder="1" applyAlignment="1" applyProtection="1">
      <alignment horizontal="right" vertical="center" wrapText="1"/>
      <protection locked="0" hidden="1"/>
    </xf>
    <xf numFmtId="1" fontId="33" fillId="12" borderId="35" xfId="1" applyNumberFormat="1" applyFont="1" applyFill="1" applyBorder="1" applyAlignment="1" applyProtection="1">
      <alignment horizontal="center" vertical="center" wrapText="1"/>
      <protection locked="0" hidden="1"/>
    </xf>
    <xf numFmtId="3" fontId="23" fillId="12" borderId="37" xfId="1" applyNumberFormat="1" applyFont="1" applyFill="1" applyBorder="1" applyAlignment="1" applyProtection="1">
      <alignment horizontal="right" vertical="center" wrapText="1"/>
      <protection locked="0" hidden="1"/>
    </xf>
    <xf numFmtId="1" fontId="33" fillId="12" borderId="41" xfId="1" applyNumberFormat="1" applyFont="1" applyFill="1" applyBorder="1" applyAlignment="1" applyProtection="1">
      <alignment horizontal="center" vertical="center" wrapText="1"/>
      <protection locked="0" hidden="1"/>
    </xf>
    <xf numFmtId="3" fontId="23" fillId="12" borderId="33" xfId="1" applyNumberFormat="1" applyFont="1" applyFill="1" applyBorder="1" applyAlignment="1" applyProtection="1">
      <alignment horizontal="right" vertical="center" wrapText="1"/>
      <protection locked="0" hidden="1"/>
    </xf>
    <xf numFmtId="1" fontId="33" fillId="12" borderId="33" xfId="1" applyNumberFormat="1" applyFont="1" applyFill="1" applyBorder="1" applyAlignment="1" applyProtection="1">
      <alignment horizontal="center" vertical="center" wrapText="1"/>
      <protection locked="0" hidden="1"/>
    </xf>
    <xf numFmtId="1" fontId="33" fillId="12" borderId="42" xfId="1" applyNumberFormat="1" applyFont="1" applyFill="1" applyBorder="1" applyAlignment="1" applyProtection="1">
      <alignment horizontal="center" vertical="center" wrapText="1"/>
      <protection locked="0" hidden="1"/>
    </xf>
    <xf numFmtId="3" fontId="23" fillId="12" borderId="31" xfId="1" applyNumberFormat="1" applyFont="1" applyFill="1" applyBorder="1" applyAlignment="1" applyProtection="1">
      <alignment horizontal="right" vertical="center" wrapText="1"/>
      <protection locked="0" hidden="1"/>
    </xf>
    <xf numFmtId="49" fontId="23" fillId="12" borderId="44" xfId="0" applyNumberFormat="1" applyFont="1" applyFill="1" applyBorder="1" applyAlignment="1" applyProtection="1">
      <alignment horizontal="left" vertical="center"/>
      <protection locked="0" hidden="1"/>
    </xf>
    <xf numFmtId="49" fontId="23" fillId="12" borderId="45" xfId="0" applyNumberFormat="1" applyFont="1" applyFill="1" applyBorder="1" applyAlignment="1" applyProtection="1">
      <alignment horizontal="left" vertical="center"/>
      <protection locked="0" hidden="1"/>
    </xf>
    <xf numFmtId="49" fontId="23" fillId="12" borderId="47" xfId="0" applyNumberFormat="1" applyFont="1" applyFill="1" applyBorder="1" applyAlignment="1" applyProtection="1">
      <alignment horizontal="center" vertical="center"/>
      <protection locked="0" hidden="1"/>
    </xf>
    <xf numFmtId="49" fontId="23" fillId="12" borderId="47" xfId="0" applyNumberFormat="1" applyFont="1" applyFill="1" applyBorder="1" applyAlignment="1" applyProtection="1">
      <alignment horizontal="left" vertical="center"/>
      <protection locked="0" hidden="1"/>
    </xf>
    <xf numFmtId="0" fontId="23" fillId="4" borderId="31" xfId="0" applyFont="1" applyFill="1" applyBorder="1" applyAlignment="1" applyProtection="1">
      <alignment horizontal="center" vertical="center"/>
      <protection hidden="1"/>
    </xf>
    <xf numFmtId="0" fontId="23" fillId="4" borderId="33" xfId="0" applyFont="1" applyFill="1" applyBorder="1" applyAlignment="1" applyProtection="1">
      <alignment horizontal="center" vertical="center"/>
      <protection hidden="1"/>
    </xf>
    <xf numFmtId="0" fontId="23" fillId="4" borderId="35" xfId="0" applyFont="1" applyFill="1" applyBorder="1" applyAlignment="1" applyProtection="1">
      <alignment horizontal="center" vertical="center"/>
      <protection hidden="1"/>
    </xf>
    <xf numFmtId="0" fontId="23" fillId="4" borderId="37" xfId="0" applyFont="1" applyFill="1" applyBorder="1" applyAlignment="1" applyProtection="1">
      <alignment horizontal="center" vertical="center"/>
      <protection hidden="1"/>
    </xf>
    <xf numFmtId="165" fontId="23" fillId="4" borderId="31" xfId="2" applyNumberFormat="1" applyFont="1" applyFill="1" applyBorder="1" applyAlignment="1" applyProtection="1">
      <alignment horizontal="center" vertical="center" wrapText="1"/>
      <protection hidden="1"/>
    </xf>
    <xf numFmtId="37" fontId="23" fillId="4" borderId="31" xfId="1" applyNumberFormat="1" applyFont="1" applyFill="1" applyBorder="1" applyAlignment="1" applyProtection="1">
      <alignment horizontal="right" vertical="center" wrapText="1"/>
      <protection hidden="1"/>
    </xf>
    <xf numFmtId="164" fontId="23" fillId="4" borderId="33" xfId="0" applyNumberFormat="1" applyFont="1" applyFill="1" applyBorder="1" applyAlignment="1" applyProtection="1">
      <alignment horizontal="center" vertical="center"/>
      <protection hidden="1"/>
    </xf>
    <xf numFmtId="165" fontId="23" fillId="4" borderId="33" xfId="2" applyNumberFormat="1" applyFont="1" applyFill="1" applyBorder="1" applyAlignment="1" applyProtection="1">
      <alignment horizontal="center" vertical="center" wrapText="1"/>
      <protection hidden="1"/>
    </xf>
    <xf numFmtId="37" fontId="23" fillId="4" borderId="33" xfId="1" applyNumberFormat="1" applyFont="1" applyFill="1" applyBorder="1" applyAlignment="1" applyProtection="1">
      <alignment horizontal="right" vertical="center" wrapText="1"/>
      <protection hidden="1"/>
    </xf>
    <xf numFmtId="164" fontId="23" fillId="4" borderId="35" xfId="0" applyNumberFormat="1" applyFont="1" applyFill="1" applyBorder="1" applyAlignment="1" applyProtection="1">
      <alignment horizontal="center" vertical="center"/>
      <protection hidden="1"/>
    </xf>
    <xf numFmtId="165" fontId="23" fillId="4" borderId="35" xfId="2" applyNumberFormat="1" applyFont="1" applyFill="1" applyBorder="1" applyAlignment="1" applyProtection="1">
      <alignment horizontal="center" vertical="center" wrapText="1"/>
      <protection hidden="1"/>
    </xf>
    <xf numFmtId="37" fontId="23" fillId="4" borderId="35" xfId="1" applyNumberFormat="1" applyFont="1" applyFill="1" applyBorder="1" applyAlignment="1" applyProtection="1">
      <alignment horizontal="right" vertical="center" wrapText="1"/>
      <protection hidden="1"/>
    </xf>
    <xf numFmtId="164" fontId="23" fillId="4" borderId="37" xfId="0" applyNumberFormat="1" applyFont="1" applyFill="1" applyBorder="1" applyAlignment="1" applyProtection="1">
      <alignment horizontal="center" vertical="center"/>
      <protection hidden="1"/>
    </xf>
    <xf numFmtId="165" fontId="23" fillId="4" borderId="37" xfId="2" applyNumberFormat="1" applyFont="1" applyFill="1" applyBorder="1" applyAlignment="1" applyProtection="1">
      <alignment horizontal="center" vertical="center" wrapText="1"/>
      <protection hidden="1"/>
    </xf>
    <xf numFmtId="37" fontId="23" fillId="4" borderId="37" xfId="1" applyNumberFormat="1" applyFont="1" applyFill="1" applyBorder="1" applyAlignment="1" applyProtection="1">
      <alignment horizontal="right" vertical="center" wrapText="1"/>
      <protection hidden="1"/>
    </xf>
    <xf numFmtId="3" fontId="16" fillId="0" borderId="23" xfId="0" applyNumberFormat="1" applyFont="1" applyFill="1" applyBorder="1" applyAlignment="1" applyProtection="1">
      <alignment horizontal="right" vertical="center"/>
      <protection hidden="1"/>
    </xf>
    <xf numFmtId="37" fontId="16" fillId="0" borderId="23" xfId="1" applyNumberFormat="1" applyFont="1" applyFill="1" applyBorder="1" applyAlignment="1" applyProtection="1">
      <alignment horizontal="right" vertical="center"/>
      <protection hidden="1"/>
    </xf>
    <xf numFmtId="0" fontId="17" fillId="0" borderId="0" xfId="0" applyFont="1" applyBorder="1" applyAlignment="1" applyProtection="1">
      <alignment wrapText="1"/>
      <protection hidden="1"/>
    </xf>
    <xf numFmtId="0" fontId="17" fillId="0" borderId="0" xfId="0" applyFont="1" applyAlignment="1">
      <alignment vertical="center"/>
    </xf>
    <xf numFmtId="0" fontId="32" fillId="0" borderId="0" xfId="0" applyFont="1" applyFill="1" applyBorder="1" applyAlignment="1">
      <alignment horizontal="center" vertical="center" wrapText="1"/>
    </xf>
    <xf numFmtId="49" fontId="31" fillId="0" borderId="21" xfId="0" applyNumberFormat="1" applyFont="1" applyFill="1" applyBorder="1" applyAlignment="1">
      <alignment horizontal="center" vertical="center" wrapText="1"/>
    </xf>
    <xf numFmtId="0" fontId="23" fillId="0" borderId="25" xfId="0" applyFont="1" applyFill="1" applyBorder="1" applyAlignment="1">
      <alignment horizontal="left" vertical="center" wrapText="1"/>
    </xf>
    <xf numFmtId="0" fontId="23" fillId="0" borderId="26" xfId="0" applyFont="1" applyFill="1" applyBorder="1" applyAlignment="1">
      <alignment horizontal="left" vertical="center" wrapText="1"/>
    </xf>
    <xf numFmtId="49" fontId="23" fillId="0" borderId="20" xfId="0" applyNumberFormat="1" applyFont="1" applyBorder="1" applyAlignment="1">
      <alignment vertical="center"/>
    </xf>
    <xf numFmtId="49" fontId="23" fillId="0" borderId="21" xfId="0" applyNumberFormat="1" applyFont="1" applyBorder="1" applyAlignment="1">
      <alignment vertical="center"/>
    </xf>
    <xf numFmtId="49" fontId="23" fillId="0" borderId="24" xfId="0" applyNumberFormat="1" applyFont="1" applyBorder="1" applyAlignment="1">
      <alignment vertical="center"/>
    </xf>
    <xf numFmtId="49" fontId="23" fillId="0" borderId="0" xfId="0" applyNumberFormat="1" applyFont="1" applyBorder="1" applyAlignment="1">
      <alignment vertical="center"/>
    </xf>
    <xf numFmtId="49" fontId="15" fillId="4" borderId="50" xfId="0" applyNumberFormat="1" applyFont="1" applyFill="1" applyBorder="1" applyAlignment="1">
      <alignment horizontal="left" vertical="center" wrapText="1"/>
    </xf>
    <xf numFmtId="0" fontId="15" fillId="4" borderId="51" xfId="0" applyFont="1" applyFill="1" applyBorder="1" applyAlignment="1">
      <alignment vertical="center" wrapText="1"/>
    </xf>
    <xf numFmtId="0" fontId="15" fillId="4" borderId="52" xfId="0" applyFont="1" applyFill="1" applyBorder="1" applyAlignment="1">
      <alignment vertical="center" wrapText="1"/>
    </xf>
    <xf numFmtId="0" fontId="15" fillId="4" borderId="53" xfId="0" applyFont="1" applyFill="1" applyBorder="1" applyAlignment="1">
      <alignment vertical="center" wrapText="1"/>
    </xf>
    <xf numFmtId="0" fontId="15" fillId="4" borderId="50" xfId="0" applyFont="1" applyFill="1" applyBorder="1" applyAlignment="1">
      <alignment vertical="center" wrapText="1"/>
    </xf>
    <xf numFmtId="49" fontId="33" fillId="0" borderId="54" xfId="0" applyNumberFormat="1" applyFont="1" applyFill="1" applyBorder="1" applyAlignment="1">
      <alignment horizontal="left" vertical="center" wrapText="1"/>
    </xf>
    <xf numFmtId="0" fontId="33" fillId="0" borderId="55" xfId="0" applyFont="1" applyFill="1" applyBorder="1" applyAlignment="1">
      <alignment horizontal="left" vertical="center" indent="1"/>
    </xf>
    <xf numFmtId="166" fontId="33" fillId="0" borderId="56" xfId="0" applyNumberFormat="1" applyFont="1" applyFill="1" applyBorder="1" applyAlignment="1">
      <alignment vertical="center"/>
    </xf>
    <xf numFmtId="166" fontId="33" fillId="0" borderId="57" xfId="0" applyNumberFormat="1" applyFont="1" applyFill="1" applyBorder="1" applyAlignment="1">
      <alignment vertical="center" wrapText="1"/>
    </xf>
    <xf numFmtId="166" fontId="33" fillId="0" borderId="58" xfId="0" applyNumberFormat="1" applyFont="1" applyFill="1" applyBorder="1" applyAlignment="1">
      <alignment vertical="center" wrapText="1"/>
    </xf>
    <xf numFmtId="166" fontId="33" fillId="0" borderId="54" xfId="0" applyNumberFormat="1" applyFont="1" applyFill="1" applyBorder="1" applyAlignment="1">
      <alignment vertical="center" wrapText="1"/>
    </xf>
    <xf numFmtId="9" fontId="33" fillId="0" borderId="56" xfId="2" applyFont="1" applyFill="1" applyBorder="1" applyAlignment="1">
      <alignment horizontal="center" vertical="center" wrapText="1"/>
    </xf>
    <xf numFmtId="9" fontId="33" fillId="0" borderId="57" xfId="2" applyFont="1" applyFill="1" applyBorder="1" applyAlignment="1">
      <alignment horizontal="center" vertical="center" wrapText="1"/>
    </xf>
    <xf numFmtId="49" fontId="33" fillId="0" borderId="59" xfId="0" applyNumberFormat="1" applyFont="1" applyFill="1" applyBorder="1" applyAlignment="1">
      <alignment horizontal="left" vertical="center" wrapText="1"/>
    </xf>
    <xf numFmtId="0" fontId="33" fillId="0" borderId="60" xfId="0" applyFont="1" applyFill="1" applyBorder="1" applyAlignment="1">
      <alignment horizontal="left" vertical="center" indent="1"/>
    </xf>
    <xf numFmtId="166" fontId="33" fillId="0" borderId="61" xfId="0" applyNumberFormat="1" applyFont="1" applyFill="1" applyBorder="1" applyAlignment="1">
      <alignment vertical="center"/>
    </xf>
    <xf numFmtId="166" fontId="33" fillId="0" borderId="62" xfId="0" applyNumberFormat="1" applyFont="1" applyFill="1" applyBorder="1" applyAlignment="1">
      <alignment vertical="center" wrapText="1"/>
    </xf>
    <xf numFmtId="166" fontId="33" fillId="0" borderId="63" xfId="0" applyNumberFormat="1" applyFont="1" applyFill="1" applyBorder="1" applyAlignment="1">
      <alignment vertical="center" wrapText="1"/>
    </xf>
    <xf numFmtId="166" fontId="33" fillId="0" borderId="59" xfId="0" applyNumberFormat="1" applyFont="1" applyFill="1" applyBorder="1" applyAlignment="1">
      <alignment vertical="center" wrapText="1"/>
    </xf>
    <xf numFmtId="9" fontId="33" fillId="0" borderId="61" xfId="2" applyFont="1" applyFill="1" applyBorder="1" applyAlignment="1">
      <alignment horizontal="center" vertical="center" wrapText="1"/>
    </xf>
    <xf numFmtId="9" fontId="33" fillId="0" borderId="62" xfId="2" applyFont="1" applyFill="1" applyBorder="1" applyAlignment="1">
      <alignment horizontal="center" vertical="center" wrapText="1"/>
    </xf>
    <xf numFmtId="49" fontId="15" fillId="0" borderId="54" xfId="0" applyNumberFormat="1" applyFont="1" applyFill="1" applyBorder="1" applyAlignment="1">
      <alignment horizontal="left" vertical="center" wrapText="1"/>
    </xf>
    <xf numFmtId="0" fontId="15" fillId="0" borderId="55" xfId="0" applyFont="1" applyFill="1" applyBorder="1" applyAlignment="1">
      <alignment vertical="center" wrapText="1"/>
    </xf>
    <xf numFmtId="0" fontId="15" fillId="0" borderId="64" xfId="0" applyFont="1" applyFill="1" applyBorder="1" applyAlignment="1">
      <alignment vertical="center" wrapText="1"/>
    </xf>
    <xf numFmtId="0" fontId="15" fillId="0" borderId="65" xfId="0" applyFont="1" applyFill="1" applyBorder="1" applyAlignment="1">
      <alignment vertical="center" wrapText="1"/>
    </xf>
    <xf numFmtId="0" fontId="15" fillId="0" borderId="54" xfId="0" applyFont="1" applyFill="1" applyBorder="1" applyAlignment="1">
      <alignment vertical="center" wrapText="1"/>
    </xf>
    <xf numFmtId="49" fontId="23" fillId="0" borderId="11" xfId="0" applyNumberFormat="1" applyFont="1" applyBorder="1" applyAlignment="1">
      <alignment horizontal="left" vertical="center" wrapText="1"/>
    </xf>
    <xf numFmtId="0" fontId="15" fillId="0" borderId="27" xfId="0" applyFont="1" applyBorder="1" applyAlignment="1">
      <alignment vertical="center"/>
    </xf>
    <xf numFmtId="166" fontId="35" fillId="0" borderId="28" xfId="0" applyNumberFormat="1" applyFont="1" applyBorder="1" applyAlignment="1">
      <alignment vertical="center"/>
    </xf>
    <xf numFmtId="166" fontId="35" fillId="0" borderId="29" xfId="0" applyNumberFormat="1" applyFont="1" applyBorder="1" applyAlignment="1">
      <alignment vertical="center"/>
    </xf>
    <xf numFmtId="166" fontId="35" fillId="0" borderId="30" xfId="0" applyNumberFormat="1" applyFont="1" applyBorder="1" applyAlignment="1">
      <alignment vertical="center"/>
    </xf>
    <xf numFmtId="166" fontId="35" fillId="0" borderId="11" xfId="0" applyNumberFormat="1" applyFont="1" applyBorder="1" applyAlignment="1">
      <alignment vertical="center" wrapText="1"/>
    </xf>
    <xf numFmtId="9" fontId="35" fillId="0" borderId="28" xfId="2" applyFont="1" applyBorder="1" applyAlignment="1">
      <alignment horizontal="center" vertical="center" wrapText="1"/>
    </xf>
    <xf numFmtId="166" fontId="35" fillId="0" borderId="29" xfId="2" applyNumberFormat="1" applyFont="1" applyBorder="1" applyAlignment="1">
      <alignment horizontal="center" vertical="center" wrapText="1"/>
    </xf>
    <xf numFmtId="166" fontId="35" fillId="0" borderId="30" xfId="0" applyNumberFormat="1" applyFont="1" applyBorder="1" applyAlignment="1">
      <alignment vertical="center" wrapText="1"/>
    </xf>
    <xf numFmtId="9" fontId="15" fillId="0" borderId="0" xfId="0" applyNumberFormat="1" applyFont="1" applyBorder="1" applyAlignment="1">
      <alignment vertical="center" wrapText="1"/>
    </xf>
    <xf numFmtId="0" fontId="0" fillId="0" borderId="0" xfId="0" applyFill="1" applyBorder="1" applyAlignment="1" applyProtection="1">
      <alignment wrapText="1"/>
      <protection hidden="1"/>
    </xf>
    <xf numFmtId="0" fontId="20" fillId="0" borderId="0" xfId="0" applyFont="1" applyFill="1" applyBorder="1" applyAlignment="1" applyProtection="1">
      <alignment vertical="center"/>
      <protection hidden="1"/>
    </xf>
    <xf numFmtId="0" fontId="21" fillId="0" borderId="0" xfId="0" applyFont="1" applyBorder="1" applyAlignment="1" applyProtection="1">
      <alignment wrapText="1"/>
      <protection hidden="1"/>
    </xf>
    <xf numFmtId="0" fontId="21" fillId="0" borderId="0" xfId="0" applyFont="1" applyBorder="1" applyAlignment="1" applyProtection="1">
      <alignment horizontal="center"/>
      <protection hidden="1"/>
    </xf>
    <xf numFmtId="0" fontId="49" fillId="6" borderId="1" xfId="0" applyFont="1" applyFill="1" applyBorder="1" applyAlignment="1" applyProtection="1">
      <alignment horizontal="center" vertical="center" wrapText="1"/>
      <protection hidden="1"/>
    </xf>
    <xf numFmtId="0" fontId="26" fillId="6" borderId="1" xfId="0" applyFont="1" applyFill="1" applyBorder="1" applyAlignment="1" applyProtection="1">
      <alignment vertical="center"/>
      <protection hidden="1"/>
    </xf>
    <xf numFmtId="0" fontId="26" fillId="6" borderId="1" xfId="0" applyFont="1" applyFill="1" applyBorder="1" applyAlignment="1" applyProtection="1">
      <alignment vertical="center" wrapText="1"/>
      <protection hidden="1"/>
    </xf>
    <xf numFmtId="0" fontId="21" fillId="0" borderId="1" xfId="0" applyFont="1" applyFill="1" applyBorder="1" applyAlignment="1" applyProtection="1">
      <alignment horizontal="center" vertical="center" wrapText="1"/>
      <protection hidden="1"/>
    </xf>
    <xf numFmtId="0" fontId="21" fillId="0" borderId="1" xfId="0" applyFont="1" applyFill="1" applyBorder="1" applyAlignment="1" applyProtection="1">
      <alignment vertical="center" wrapText="1"/>
      <protection hidden="1"/>
    </xf>
    <xf numFmtId="0" fontId="33" fillId="0" borderId="1" xfId="0" applyFont="1" applyBorder="1" applyAlignment="1" applyProtection="1">
      <alignment horizontal="center" vertical="center"/>
      <protection hidden="1"/>
    </xf>
    <xf numFmtId="0" fontId="15" fillId="0" borderId="1" xfId="0" applyFont="1" applyFill="1" applyBorder="1" applyAlignment="1" applyProtection="1">
      <alignment horizontal="center" vertical="center" wrapText="1"/>
      <protection hidden="1"/>
    </xf>
    <xf numFmtId="0" fontId="23" fillId="0" borderId="1" xfId="0" applyFont="1" applyFill="1" applyBorder="1" applyAlignment="1" applyProtection="1">
      <alignment horizontal="center" vertical="center" wrapText="1" shrinkToFit="1"/>
      <protection hidden="1"/>
    </xf>
    <xf numFmtId="0" fontId="17" fillId="0" borderId="24" xfId="0" applyFont="1" applyFill="1" applyBorder="1" applyAlignment="1" applyProtection="1">
      <alignment horizontal="center" vertical="center" wrapText="1" shrinkToFit="1"/>
      <protection hidden="1"/>
    </xf>
    <xf numFmtId="0" fontId="15" fillId="0" borderId="1" xfId="0" applyFont="1" applyBorder="1" applyAlignment="1" applyProtection="1">
      <alignment vertical="top" wrapText="1"/>
      <protection hidden="1"/>
    </xf>
    <xf numFmtId="0" fontId="15" fillId="0" borderId="1" xfId="0" applyFont="1" applyBorder="1" applyAlignment="1" applyProtection="1">
      <alignment vertical="top" wrapText="1" readingOrder="1"/>
      <protection hidden="1"/>
    </xf>
    <xf numFmtId="0" fontId="49" fillId="8" borderId="1" xfId="0" applyFont="1" applyFill="1" applyBorder="1" applyAlignment="1" applyProtection="1">
      <alignment horizontal="center" vertical="center" wrapText="1"/>
      <protection hidden="1"/>
    </xf>
    <xf numFmtId="0" fontId="26" fillId="8" borderId="1" xfId="0" applyFont="1" applyFill="1" applyBorder="1" applyAlignment="1" applyProtection="1">
      <alignment vertical="center"/>
      <protection hidden="1"/>
    </xf>
    <xf numFmtId="0" fontId="26" fillId="8" borderId="1" xfId="0" applyFont="1" applyFill="1" applyBorder="1" applyAlignment="1" applyProtection="1">
      <alignment vertical="center" wrapText="1"/>
      <protection hidden="1"/>
    </xf>
    <xf numFmtId="0" fontId="49" fillId="5" borderId="1" xfId="0" applyFont="1" applyFill="1" applyBorder="1" applyAlignment="1" applyProtection="1">
      <alignment horizontal="center" vertical="center" wrapText="1"/>
      <protection hidden="1"/>
    </xf>
    <xf numFmtId="0" fontId="26" fillId="5" borderId="1" xfId="0" applyFont="1" applyFill="1" applyBorder="1" applyAlignment="1" applyProtection="1">
      <alignment vertical="center"/>
      <protection hidden="1"/>
    </xf>
    <xf numFmtId="0" fontId="26" fillId="5" borderId="1" xfId="0" applyFont="1" applyFill="1" applyBorder="1" applyAlignment="1" applyProtection="1">
      <alignment vertical="center" wrapText="1"/>
      <protection hidden="1"/>
    </xf>
    <xf numFmtId="0" fontId="26" fillId="0" borderId="24" xfId="0" applyFont="1" applyFill="1" applyBorder="1" applyAlignment="1" applyProtection="1">
      <alignment horizontal="center" vertical="center"/>
      <protection hidden="1"/>
    </xf>
    <xf numFmtId="0" fontId="21" fillId="0" borderId="24" xfId="0" applyFont="1" applyFill="1" applyBorder="1" applyAlignment="1" applyProtection="1">
      <alignment horizontal="center" vertical="center" wrapText="1" shrinkToFit="1"/>
      <protection hidden="1"/>
    </xf>
    <xf numFmtId="0" fontId="49" fillId="9" borderId="1" xfId="0" applyFont="1" applyFill="1" applyBorder="1" applyAlignment="1" applyProtection="1">
      <alignment horizontal="center" vertical="center" wrapText="1"/>
      <protection hidden="1"/>
    </xf>
    <xf numFmtId="0" fontId="26" fillId="9" borderId="1" xfId="0" applyFont="1" applyFill="1" applyBorder="1" applyAlignment="1" applyProtection="1">
      <alignment vertical="center"/>
      <protection hidden="1"/>
    </xf>
    <xf numFmtId="0" fontId="26" fillId="9" borderId="1" xfId="0" applyFont="1" applyFill="1" applyBorder="1" applyAlignment="1" applyProtection="1">
      <alignment vertical="center" wrapText="1"/>
      <protection hidden="1"/>
    </xf>
    <xf numFmtId="0" fontId="49" fillId="10" borderId="1" xfId="0" applyFont="1" applyFill="1" applyBorder="1" applyAlignment="1" applyProtection="1">
      <alignment horizontal="center" vertical="center" wrapText="1"/>
      <protection hidden="1"/>
    </xf>
    <xf numFmtId="0" fontId="26" fillId="10" borderId="1" xfId="0" applyFont="1" applyFill="1" applyBorder="1" applyAlignment="1" applyProtection="1">
      <alignment vertical="center"/>
      <protection hidden="1"/>
    </xf>
    <xf numFmtId="0" fontId="26" fillId="10" borderId="1" xfId="0" applyFont="1" applyFill="1" applyBorder="1" applyAlignment="1" applyProtection="1">
      <alignment vertical="center" wrapText="1"/>
      <protection hidden="1"/>
    </xf>
    <xf numFmtId="0" fontId="49" fillId="11" borderId="1" xfId="0" applyFont="1" applyFill="1" applyBorder="1" applyAlignment="1" applyProtection="1">
      <alignment horizontal="center" vertical="center" wrapText="1"/>
      <protection hidden="1"/>
    </xf>
    <xf numFmtId="0" fontId="26" fillId="11" borderId="1" xfId="0" applyFont="1" applyFill="1" applyBorder="1" applyAlignment="1" applyProtection="1">
      <alignment vertical="center"/>
      <protection hidden="1"/>
    </xf>
    <xf numFmtId="0" fontId="26" fillId="11" borderId="1" xfId="0" applyFont="1" applyFill="1" applyBorder="1" applyAlignment="1" applyProtection="1">
      <alignment vertical="center" wrapText="1"/>
      <protection hidden="1"/>
    </xf>
    <xf numFmtId="0" fontId="33" fillId="2" borderId="1" xfId="0" applyFont="1" applyFill="1" applyBorder="1" applyAlignment="1" applyProtection="1">
      <alignment horizontal="center" vertical="center"/>
      <protection hidden="1"/>
    </xf>
    <xf numFmtId="0" fontId="33" fillId="2" borderId="1" xfId="0" applyFont="1" applyFill="1" applyBorder="1" applyAlignment="1" applyProtection="1">
      <alignment vertical="center"/>
      <protection hidden="1"/>
    </xf>
    <xf numFmtId="0" fontId="15" fillId="2" borderId="1" xfId="0" applyFont="1" applyFill="1" applyBorder="1" applyAlignment="1" applyProtection="1">
      <alignment vertical="center" wrapText="1"/>
      <protection hidden="1"/>
    </xf>
    <xf numFmtId="0" fontId="23" fillId="2" borderId="1" xfId="0" applyFont="1" applyFill="1" applyBorder="1" applyAlignment="1" applyProtection="1">
      <alignment horizontal="center" vertical="center"/>
      <protection hidden="1"/>
    </xf>
    <xf numFmtId="0" fontId="23" fillId="2" borderId="1" xfId="0" applyFont="1" applyFill="1" applyBorder="1" applyAlignment="1" applyProtection="1">
      <alignment horizontal="center" vertical="center" wrapText="1"/>
      <protection hidden="1"/>
    </xf>
    <xf numFmtId="0" fontId="23" fillId="0" borderId="24" xfId="0" applyFont="1" applyFill="1" applyBorder="1" applyAlignment="1" applyProtection="1">
      <alignment horizontal="center" vertical="center" wrapText="1"/>
      <protection hidden="1"/>
    </xf>
    <xf numFmtId="0" fontId="23" fillId="2" borderId="1" xfId="0" applyFont="1" applyFill="1" applyBorder="1" applyProtection="1">
      <protection hidden="1"/>
    </xf>
    <xf numFmtId="0" fontId="23" fillId="2" borderId="1" xfId="0" applyFont="1" applyFill="1" applyBorder="1" applyAlignment="1" applyProtection="1">
      <alignment wrapText="1"/>
      <protection hidden="1"/>
    </xf>
    <xf numFmtId="0" fontId="23" fillId="2" borderId="1" xfId="0" applyFont="1" applyFill="1" applyBorder="1" applyAlignment="1" applyProtection="1">
      <alignment horizontal="center"/>
      <protection hidden="1"/>
    </xf>
    <xf numFmtId="0" fontId="49" fillId="12" borderId="1" xfId="0" applyFont="1" applyFill="1" applyBorder="1" applyAlignment="1" applyProtection="1">
      <alignment horizontal="center" vertical="center" wrapText="1"/>
      <protection hidden="1"/>
    </xf>
    <xf numFmtId="0" fontId="26" fillId="12" borderId="1" xfId="0" applyFont="1" applyFill="1" applyBorder="1" applyAlignment="1" applyProtection="1">
      <alignment vertical="center"/>
      <protection hidden="1"/>
    </xf>
    <xf numFmtId="0" fontId="26" fillId="12" borderId="1" xfId="0" applyFont="1" applyFill="1" applyBorder="1" applyAlignment="1" applyProtection="1">
      <alignment vertical="center" wrapText="1"/>
      <protection hidden="1"/>
    </xf>
    <xf numFmtId="0" fontId="33" fillId="0" borderId="1" xfId="0" applyFont="1" applyBorder="1" applyAlignment="1" applyProtection="1">
      <alignment horizontal="center" vertical="center" wrapText="1"/>
      <protection hidden="1"/>
    </xf>
    <xf numFmtId="0" fontId="8" fillId="0" borderId="1" xfId="0" applyFont="1" applyBorder="1" applyAlignment="1" applyProtection="1">
      <alignment vertical="top" wrapText="1"/>
      <protection hidden="1"/>
    </xf>
    <xf numFmtId="0" fontId="15" fillId="0" borderId="1" xfId="0" applyFont="1" applyFill="1" applyBorder="1" applyAlignment="1" applyProtection="1">
      <alignment vertical="top" wrapText="1"/>
      <protection hidden="1"/>
    </xf>
    <xf numFmtId="0" fontId="15" fillId="0" borderId="1" xfId="0" applyFont="1" applyFill="1" applyBorder="1" applyAlignment="1" applyProtection="1">
      <alignment horizontal="left" vertical="center"/>
      <protection locked="0" hidden="1"/>
    </xf>
    <xf numFmtId="0" fontId="26" fillId="6" borderId="18" xfId="0" applyFont="1" applyFill="1" applyBorder="1" applyAlignment="1" applyProtection="1">
      <alignment vertical="center"/>
      <protection hidden="1"/>
    </xf>
    <xf numFmtId="0" fontId="21" fillId="0" borderId="18" xfId="0" applyFont="1" applyFill="1" applyBorder="1" applyAlignment="1" applyProtection="1">
      <alignment horizontal="left" vertical="center" wrapText="1"/>
      <protection hidden="1"/>
    </xf>
    <xf numFmtId="0" fontId="15" fillId="0" borderId="18" xfId="0" applyFont="1" applyBorder="1" applyAlignment="1" applyProtection="1">
      <alignment vertical="center"/>
      <protection hidden="1"/>
    </xf>
    <xf numFmtId="0" fontId="26" fillId="8" borderId="18" xfId="0" applyFont="1" applyFill="1" applyBorder="1" applyAlignment="1" applyProtection="1">
      <alignment vertical="center"/>
      <protection hidden="1"/>
    </xf>
    <xf numFmtId="0" fontId="26" fillId="5" borderId="18" xfId="0" applyFont="1" applyFill="1" applyBorder="1" applyAlignment="1" applyProtection="1">
      <alignment vertical="center"/>
      <protection hidden="1"/>
    </xf>
    <xf numFmtId="0" fontId="26" fillId="9" borderId="18" xfId="0" applyFont="1" applyFill="1" applyBorder="1" applyAlignment="1" applyProtection="1">
      <alignment vertical="center"/>
      <protection hidden="1"/>
    </xf>
    <xf numFmtId="0" fontId="26" fillId="10" borderId="18" xfId="0" applyFont="1" applyFill="1" applyBorder="1" applyAlignment="1" applyProtection="1">
      <alignment vertical="center"/>
      <protection hidden="1"/>
    </xf>
    <xf numFmtId="0" fontId="26" fillId="11" borderId="18" xfId="0" applyFont="1" applyFill="1" applyBorder="1" applyAlignment="1" applyProtection="1">
      <alignment vertical="center"/>
      <protection hidden="1"/>
    </xf>
    <xf numFmtId="0" fontId="23" fillId="2" borderId="18" xfId="0" applyFont="1" applyFill="1" applyBorder="1" applyAlignment="1" applyProtection="1">
      <alignment vertical="center"/>
      <protection hidden="1"/>
    </xf>
    <xf numFmtId="0" fontId="23" fillId="2" borderId="18" xfId="0" applyFont="1" applyFill="1" applyBorder="1" applyProtection="1">
      <protection hidden="1"/>
    </xf>
    <xf numFmtId="0" fontId="23" fillId="0" borderId="1" xfId="0" applyFont="1" applyFill="1" applyBorder="1" applyAlignment="1" applyProtection="1">
      <alignment wrapText="1"/>
      <protection hidden="1"/>
    </xf>
    <xf numFmtId="0" fontId="23" fillId="0" borderId="1" xfId="0" applyFont="1" applyBorder="1" applyAlignment="1" applyProtection="1">
      <alignment wrapText="1"/>
      <protection hidden="1"/>
    </xf>
    <xf numFmtId="0" fontId="21" fillId="12" borderId="18" xfId="0" applyFont="1" applyFill="1" applyBorder="1" applyAlignment="1" applyProtection="1">
      <alignment vertical="center" wrapText="1"/>
      <protection hidden="1"/>
    </xf>
    <xf numFmtId="0" fontId="13" fillId="12" borderId="19" xfId="0" applyFont="1" applyFill="1" applyBorder="1" applyAlignment="1" applyProtection="1">
      <alignment horizontal="center" vertical="center" wrapText="1"/>
      <protection hidden="1"/>
    </xf>
    <xf numFmtId="0" fontId="14" fillId="12" borderId="23" xfId="0" applyFont="1" applyFill="1" applyBorder="1" applyAlignment="1" applyProtection="1">
      <alignment horizontal="left" vertical="center"/>
      <protection hidden="1"/>
    </xf>
    <xf numFmtId="0" fontId="14" fillId="12" borderId="70" xfId="0" applyFont="1" applyFill="1" applyBorder="1" applyAlignment="1" applyProtection="1">
      <alignment vertical="center"/>
      <protection hidden="1"/>
    </xf>
    <xf numFmtId="0" fontId="15" fillId="0" borderId="1" xfId="0" applyFont="1" applyFill="1" applyBorder="1" applyAlignment="1" applyProtection="1">
      <alignment horizontal="center" vertical="center" wrapText="1" shrinkToFit="1"/>
      <protection hidden="1"/>
    </xf>
    <xf numFmtId="0" fontId="15" fillId="15" borderId="1" xfId="0" applyFont="1" applyFill="1" applyBorder="1" applyAlignment="1" applyProtection="1">
      <alignment vertical="top" wrapText="1"/>
      <protection hidden="1"/>
    </xf>
    <xf numFmtId="0" fontId="54" fillId="0" borderId="0" xfId="0" applyFont="1" applyBorder="1" applyAlignment="1" applyProtection="1">
      <alignment wrapText="1"/>
      <protection hidden="1"/>
    </xf>
    <xf numFmtId="0" fontId="56" fillId="7" borderId="91" xfId="0" applyFont="1" applyFill="1" applyBorder="1" applyAlignment="1" applyProtection="1">
      <alignment horizontal="center" vertical="center"/>
      <protection hidden="1"/>
    </xf>
    <xf numFmtId="0" fontId="56" fillId="7" borderId="7" xfId="0" applyFont="1" applyFill="1" applyBorder="1" applyAlignment="1" applyProtection="1">
      <alignment horizontal="center" vertical="center"/>
      <protection hidden="1"/>
    </xf>
    <xf numFmtId="0" fontId="57" fillId="0" borderId="7" xfId="0" applyFont="1" applyBorder="1" applyAlignment="1" applyProtection="1">
      <alignment horizontal="center" vertical="center"/>
      <protection hidden="1"/>
    </xf>
    <xf numFmtId="0" fontId="56" fillId="2" borderId="7" xfId="0" applyFont="1" applyFill="1" applyBorder="1" applyAlignment="1" applyProtection="1">
      <alignment horizontal="center" vertical="center"/>
      <protection hidden="1"/>
    </xf>
    <xf numFmtId="0" fontId="55" fillId="2" borderId="7" xfId="0" applyFont="1" applyFill="1" applyBorder="1" applyProtection="1">
      <protection hidden="1"/>
    </xf>
    <xf numFmtId="0" fontId="56" fillId="7" borderId="93" xfId="0" applyFont="1" applyFill="1" applyBorder="1" applyAlignment="1" applyProtection="1">
      <alignment horizontal="center" vertical="center"/>
      <protection hidden="1"/>
    </xf>
    <xf numFmtId="0" fontId="59" fillId="7" borderId="2" xfId="0" applyFont="1" applyFill="1" applyBorder="1" applyAlignment="1" applyProtection="1">
      <alignment horizontal="center" vertical="center"/>
      <protection hidden="1"/>
    </xf>
    <xf numFmtId="0" fontId="59" fillId="7" borderId="5" xfId="0" applyFont="1" applyFill="1" applyBorder="1" applyAlignment="1" applyProtection="1">
      <alignment horizontal="center" vertical="center"/>
      <protection hidden="1"/>
    </xf>
    <xf numFmtId="0" fontId="60" fillId="0" borderId="5" xfId="0" applyFont="1" applyBorder="1" applyAlignment="1" applyProtection="1">
      <alignment horizontal="center" vertical="center"/>
      <protection hidden="1"/>
    </xf>
    <xf numFmtId="0" fontId="59" fillId="2" borderId="5" xfId="0" applyFont="1" applyFill="1" applyBorder="1" applyAlignment="1" applyProtection="1">
      <alignment horizontal="center" vertical="center"/>
      <protection hidden="1"/>
    </xf>
    <xf numFmtId="0" fontId="58" fillId="2" borderId="5" xfId="0" applyFont="1" applyFill="1" applyBorder="1" applyProtection="1">
      <protection hidden="1"/>
    </xf>
    <xf numFmtId="0" fontId="59" fillId="7" borderId="19" xfId="0" applyFont="1" applyFill="1" applyBorder="1" applyAlignment="1" applyProtection="1">
      <alignment horizontal="center" vertical="center"/>
      <protection hidden="1"/>
    </xf>
    <xf numFmtId="0" fontId="34" fillId="6" borderId="67" xfId="0" applyFont="1" applyFill="1" applyBorder="1" applyAlignment="1" applyProtection="1">
      <alignment vertical="center" wrapText="1"/>
      <protection hidden="1"/>
    </xf>
    <xf numFmtId="0" fontId="21" fillId="0" borderId="66" xfId="0" applyFont="1" applyFill="1" applyBorder="1" applyAlignment="1" applyProtection="1">
      <alignment horizontal="left" vertical="center" wrapText="1" shrinkToFit="1"/>
      <protection hidden="1"/>
    </xf>
    <xf numFmtId="0" fontId="34" fillId="8" borderId="66" xfId="0" applyFont="1" applyFill="1" applyBorder="1" applyAlignment="1" applyProtection="1">
      <alignment vertical="center" wrapText="1"/>
      <protection hidden="1"/>
    </xf>
    <xf numFmtId="0" fontId="34" fillId="5" borderId="66" xfId="0" applyFont="1" applyFill="1" applyBorder="1" applyAlignment="1" applyProtection="1">
      <alignment vertical="center" wrapText="1"/>
      <protection hidden="1"/>
    </xf>
    <xf numFmtId="0" fontId="34" fillId="9" borderId="66" xfId="0" applyFont="1" applyFill="1" applyBorder="1" applyAlignment="1" applyProtection="1">
      <alignment vertical="center" wrapText="1"/>
      <protection hidden="1"/>
    </xf>
    <xf numFmtId="0" fontId="34" fillId="10" borderId="66" xfId="0" applyFont="1" applyFill="1" applyBorder="1" applyAlignment="1" applyProtection="1">
      <alignment vertical="center" wrapText="1"/>
      <protection hidden="1"/>
    </xf>
    <xf numFmtId="0" fontId="34" fillId="11" borderId="66" xfId="0" applyFont="1" applyFill="1" applyBorder="1" applyAlignment="1" applyProtection="1">
      <alignment vertical="center" wrapText="1"/>
      <protection hidden="1"/>
    </xf>
    <xf numFmtId="0" fontId="23" fillId="2" borderId="66" xfId="0" applyFont="1" applyFill="1" applyBorder="1" applyAlignment="1" applyProtection="1">
      <alignment vertical="center" wrapText="1"/>
      <protection hidden="1"/>
    </xf>
    <xf numFmtId="0" fontId="23" fillId="2" borderId="66" xfId="0" applyFont="1" applyFill="1" applyBorder="1" applyAlignment="1" applyProtection="1">
      <alignment wrapText="1"/>
      <protection hidden="1"/>
    </xf>
    <xf numFmtId="0" fontId="34" fillId="12" borderId="66" xfId="0" applyFont="1" applyFill="1" applyBorder="1" applyAlignment="1" applyProtection="1">
      <alignment vertical="center" wrapText="1"/>
      <protection hidden="1"/>
    </xf>
    <xf numFmtId="0" fontId="59" fillId="16" borderId="5" xfId="0" applyFont="1" applyFill="1" applyBorder="1" applyAlignment="1" applyProtection="1">
      <alignment horizontal="center" vertical="center"/>
      <protection locked="0" hidden="1"/>
    </xf>
    <xf numFmtId="0" fontId="32" fillId="0" borderId="24" xfId="0" applyFont="1" applyFill="1" applyBorder="1" applyAlignment="1">
      <alignment horizontal="center" vertical="center" wrapText="1"/>
    </xf>
    <xf numFmtId="49" fontId="33" fillId="0" borderId="21" xfId="0" applyNumberFormat="1" applyFont="1" applyFill="1" applyBorder="1" applyAlignment="1">
      <alignment horizontal="center" vertical="center" wrapText="1"/>
    </xf>
    <xf numFmtId="49" fontId="33" fillId="0" borderId="66" xfId="0" applyNumberFormat="1" applyFont="1" applyFill="1" applyBorder="1" applyAlignment="1">
      <alignment horizontal="center" vertical="center" wrapText="1"/>
    </xf>
    <xf numFmtId="49" fontId="8" fillId="0" borderId="18" xfId="0" applyNumberFormat="1" applyFont="1" applyBorder="1" applyAlignment="1">
      <alignment vertical="center"/>
    </xf>
    <xf numFmtId="49" fontId="8" fillId="0" borderId="66" xfId="0" applyNumberFormat="1" applyFont="1" applyBorder="1" applyAlignment="1">
      <alignment vertical="center"/>
    </xf>
    <xf numFmtId="49" fontId="8" fillId="0" borderId="67" xfId="0" applyNumberFormat="1" applyFont="1" applyBorder="1" applyAlignment="1">
      <alignment vertical="center"/>
    </xf>
    <xf numFmtId="166" fontId="33" fillId="0" borderId="98" xfId="0" applyNumberFormat="1" applyFont="1" applyFill="1" applyBorder="1" applyAlignment="1">
      <alignment vertical="center" wrapText="1"/>
    </xf>
    <xf numFmtId="166" fontId="33" fillId="0" borderId="101" xfId="0" applyNumberFormat="1" applyFont="1" applyFill="1" applyBorder="1" applyAlignment="1">
      <alignment vertical="center" wrapText="1"/>
    </xf>
    <xf numFmtId="166" fontId="33" fillId="0" borderId="106" xfId="0" applyNumberFormat="1" applyFont="1" applyFill="1" applyBorder="1" applyAlignment="1">
      <alignment vertical="center" wrapText="1"/>
    </xf>
    <xf numFmtId="0" fontId="8" fillId="4" borderId="95" xfId="0" applyFont="1" applyFill="1" applyBorder="1" applyAlignment="1">
      <alignment vertical="center" wrapText="1"/>
    </xf>
    <xf numFmtId="0" fontId="8" fillId="0" borderId="98" xfId="0" applyFont="1" applyFill="1" applyBorder="1" applyAlignment="1">
      <alignment vertical="center" wrapText="1"/>
    </xf>
    <xf numFmtId="166" fontId="33" fillId="0" borderId="108" xfId="0" applyNumberFormat="1" applyFont="1" applyBorder="1" applyAlignment="1">
      <alignment vertical="center" wrapText="1"/>
    </xf>
    <xf numFmtId="166" fontId="33" fillId="0" borderId="109" xfId="0" applyNumberFormat="1" applyFont="1" applyBorder="1" applyAlignment="1">
      <alignment vertical="center" wrapText="1"/>
    </xf>
    <xf numFmtId="0" fontId="32" fillId="0" borderId="18" xfId="0" applyFont="1" applyFill="1" applyBorder="1" applyAlignment="1">
      <alignment horizontal="center" vertical="center" wrapText="1"/>
    </xf>
    <xf numFmtId="0" fontId="32" fillId="0" borderId="66" xfId="0" applyFont="1" applyFill="1" applyBorder="1" applyAlignment="1">
      <alignment horizontal="center" vertical="center" wrapText="1"/>
    </xf>
    <xf numFmtId="0" fontId="32" fillId="0" borderId="67" xfId="0" applyFont="1" applyBorder="1" applyAlignment="1">
      <alignment horizontal="center" vertical="center" wrapText="1"/>
    </xf>
    <xf numFmtId="49" fontId="33" fillId="0" borderId="24" xfId="0" applyNumberFormat="1" applyFont="1" applyFill="1" applyBorder="1" applyAlignment="1">
      <alignment horizontal="center" vertical="center" wrapText="1"/>
    </xf>
    <xf numFmtId="49" fontId="33" fillId="0" borderId="0" xfId="0" applyNumberFormat="1" applyFont="1" applyFill="1" applyBorder="1" applyAlignment="1">
      <alignment horizontal="center" vertical="center" wrapText="1"/>
    </xf>
    <xf numFmtId="0" fontId="31" fillId="0" borderId="66" xfId="0" applyFont="1" applyBorder="1" applyAlignment="1">
      <alignment horizontal="center" vertical="center" wrapText="1"/>
    </xf>
    <xf numFmtId="49" fontId="33" fillId="0" borderId="110" xfId="0" applyNumberFormat="1" applyFont="1" applyFill="1" applyBorder="1" applyAlignment="1">
      <alignment horizontal="center" vertical="center" wrapText="1"/>
    </xf>
    <xf numFmtId="49" fontId="33" fillId="0" borderId="111" xfId="0" applyNumberFormat="1" applyFont="1" applyFill="1" applyBorder="1" applyAlignment="1">
      <alignment horizontal="center" vertical="center" wrapText="1"/>
    </xf>
    <xf numFmtId="49" fontId="33" fillId="0" borderId="112" xfId="0" applyNumberFormat="1" applyFont="1" applyFill="1" applyBorder="1" applyAlignment="1">
      <alignment horizontal="center" vertical="center" wrapText="1"/>
    </xf>
    <xf numFmtId="49" fontId="33" fillId="0" borderId="1" xfId="0" applyNumberFormat="1"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67" xfId="0" applyFont="1" applyFill="1" applyBorder="1" applyAlignment="1">
      <alignment horizontal="center" vertical="center" wrapText="1"/>
    </xf>
    <xf numFmtId="49" fontId="23" fillId="0" borderId="0" xfId="0" applyNumberFormat="1" applyFont="1" applyBorder="1" applyAlignment="1">
      <alignment vertical="center" wrapText="1"/>
    </xf>
    <xf numFmtId="49" fontId="29" fillId="0" borderId="0" xfId="0" applyNumberFormat="1" applyFont="1" applyFill="1" applyBorder="1" applyAlignment="1">
      <alignment horizontal="center" vertical="center" wrapText="1"/>
    </xf>
    <xf numFmtId="0" fontId="15" fillId="0" borderId="1" xfId="0" applyFont="1" applyBorder="1" applyAlignment="1" applyProtection="1">
      <alignment vertical="top"/>
      <protection hidden="1"/>
    </xf>
    <xf numFmtId="0" fontId="63" fillId="7" borderId="3" xfId="0" applyFont="1" applyFill="1" applyBorder="1" applyAlignment="1" applyProtection="1">
      <alignment horizontal="center" vertical="center"/>
      <protection hidden="1"/>
    </xf>
    <xf numFmtId="0" fontId="63" fillId="7" borderId="1" xfId="0" applyFont="1" applyFill="1" applyBorder="1" applyAlignment="1" applyProtection="1">
      <alignment horizontal="center" vertical="center"/>
      <protection hidden="1"/>
    </xf>
    <xf numFmtId="0" fontId="64" fillId="0" borderId="1" xfId="0" applyFont="1" applyBorder="1" applyAlignment="1" applyProtection="1">
      <alignment horizontal="center" vertical="center" textRotation="255"/>
      <protection hidden="1"/>
    </xf>
    <xf numFmtId="0" fontId="63" fillId="16" borderId="1" xfId="0" applyFont="1" applyFill="1" applyBorder="1" applyAlignment="1" applyProtection="1">
      <alignment horizontal="center" vertical="center"/>
      <protection locked="0" hidden="1"/>
    </xf>
    <xf numFmtId="0" fontId="63" fillId="2" borderId="1" xfId="0" applyFont="1" applyFill="1" applyBorder="1" applyAlignment="1" applyProtection="1">
      <alignment horizontal="center" vertical="center"/>
      <protection hidden="1"/>
    </xf>
    <xf numFmtId="0" fontId="65" fillId="2" borderId="1" xfId="0" applyFont="1" applyFill="1" applyBorder="1" applyProtection="1">
      <protection hidden="1"/>
    </xf>
    <xf numFmtId="0" fontId="63" fillId="7" borderId="92" xfId="0" applyFont="1" applyFill="1" applyBorder="1" applyAlignment="1" applyProtection="1">
      <alignment horizontal="center" vertical="center"/>
      <protection hidden="1"/>
    </xf>
    <xf numFmtId="9" fontId="15" fillId="4" borderId="52" xfId="2" applyFont="1" applyFill="1" applyBorder="1" applyAlignment="1">
      <alignment vertical="center" wrapText="1"/>
    </xf>
    <xf numFmtId="9" fontId="15" fillId="4" borderId="51" xfId="2" applyFont="1" applyFill="1" applyBorder="1" applyAlignment="1">
      <alignment vertical="center" wrapText="1"/>
    </xf>
    <xf numFmtId="9" fontId="8" fillId="4" borderId="94" xfId="2" applyFont="1" applyFill="1" applyBorder="1" applyAlignment="1">
      <alignment vertical="center" wrapText="1"/>
    </xf>
    <xf numFmtId="43" fontId="15" fillId="4" borderId="50" xfId="1" applyFont="1" applyFill="1" applyBorder="1" applyAlignment="1">
      <alignment vertical="center" wrapText="1"/>
    </xf>
    <xf numFmtId="9" fontId="8" fillId="4" borderId="96" xfId="2" applyFont="1" applyFill="1" applyBorder="1" applyAlignment="1">
      <alignment vertical="center" wrapText="1"/>
    </xf>
    <xf numFmtId="49" fontId="8" fillId="12" borderId="44" xfId="0" applyNumberFormat="1" applyFont="1" applyFill="1" applyBorder="1" applyAlignment="1" applyProtection="1">
      <alignment horizontal="left" vertical="center"/>
      <protection locked="0" hidden="1"/>
    </xf>
    <xf numFmtId="0" fontId="20" fillId="0" borderId="0" xfId="0" applyFont="1" applyFill="1" applyBorder="1" applyAlignment="1" applyProtection="1">
      <alignment horizontal="left" vertical="center" indent="1"/>
      <protection hidden="1"/>
    </xf>
    <xf numFmtId="49" fontId="21" fillId="0" borderId="0" xfId="0" applyNumberFormat="1" applyFont="1" applyFill="1" applyBorder="1" applyAlignment="1">
      <alignment horizontal="left" vertical="center"/>
    </xf>
    <xf numFmtId="0" fontId="23" fillId="0" borderId="0" xfId="0" applyFont="1" applyAlignment="1">
      <alignment vertical="center"/>
    </xf>
    <xf numFmtId="0" fontId="0" fillId="0" borderId="0" xfId="0" applyAlignment="1">
      <alignment horizontal="left" vertical="center" wrapText="1"/>
    </xf>
    <xf numFmtId="49" fontId="21" fillId="0" borderId="0" xfId="0" applyNumberFormat="1" applyFont="1" applyFill="1" applyBorder="1" applyAlignment="1">
      <alignment horizontal="left" vertical="center" wrapText="1"/>
    </xf>
    <xf numFmtId="0" fontId="30" fillId="0" borderId="0" xfId="0" applyFont="1" applyBorder="1" applyAlignment="1">
      <alignment vertical="center" wrapText="1"/>
    </xf>
    <xf numFmtId="0" fontId="17" fillId="0" borderId="0" xfId="0" applyFont="1" applyFill="1" applyAlignment="1">
      <alignment horizontal="left" vertical="center" wrapText="1"/>
    </xf>
    <xf numFmtId="9" fontId="33" fillId="0" borderId="97" xfId="2" applyFont="1" applyFill="1" applyBorder="1" applyAlignment="1">
      <alignment vertical="center" wrapText="1"/>
    </xf>
    <xf numFmtId="9" fontId="33" fillId="0" borderId="100" xfId="2" applyFont="1" applyFill="1" applyBorder="1" applyAlignment="1">
      <alignment vertical="center" wrapText="1"/>
    </xf>
    <xf numFmtId="9" fontId="8" fillId="4" borderId="103" xfId="2" applyFont="1" applyFill="1" applyBorder="1" applyAlignment="1">
      <alignment vertical="center" wrapText="1"/>
    </xf>
    <xf numFmtId="9" fontId="33" fillId="0" borderId="105" xfId="2" applyFont="1" applyFill="1" applyBorder="1" applyAlignment="1">
      <alignment vertical="center" wrapText="1"/>
    </xf>
    <xf numFmtId="9" fontId="8" fillId="0" borderId="97" xfId="2" applyFont="1" applyFill="1" applyBorder="1" applyAlignment="1">
      <alignment vertical="center" wrapText="1"/>
    </xf>
    <xf numFmtId="9" fontId="33" fillId="0" borderId="99" xfId="2" applyFont="1" applyFill="1" applyBorder="1" applyAlignment="1">
      <alignment vertical="center" wrapText="1"/>
    </xf>
    <xf numFmtId="9" fontId="33" fillId="0" borderId="102" xfId="2" applyFont="1" applyFill="1" applyBorder="1" applyAlignment="1">
      <alignment vertical="center" wrapText="1"/>
    </xf>
    <xf numFmtId="9" fontId="8" fillId="4" borderId="104" xfId="2" applyFont="1" applyFill="1" applyBorder="1" applyAlignment="1">
      <alignment vertical="center" wrapText="1"/>
    </xf>
    <xf numFmtId="9" fontId="33" fillId="0" borderId="107" xfId="2" applyFont="1" applyFill="1" applyBorder="1" applyAlignment="1">
      <alignment vertical="center" wrapText="1"/>
    </xf>
    <xf numFmtId="9" fontId="8" fillId="0" borderId="99" xfId="2" applyFont="1" applyFill="1" applyBorder="1" applyAlignment="1">
      <alignment vertical="center" wrapText="1"/>
    </xf>
    <xf numFmtId="9" fontId="15" fillId="0" borderId="55" xfId="2" applyFont="1" applyFill="1" applyBorder="1" applyAlignment="1">
      <alignment vertical="center" wrapText="1"/>
    </xf>
    <xf numFmtId="9" fontId="15" fillId="0" borderId="64" xfId="2" applyFont="1" applyFill="1" applyBorder="1" applyAlignment="1">
      <alignment vertical="center" wrapText="1"/>
    </xf>
    <xf numFmtId="49" fontId="23" fillId="0" borderId="0" xfId="0" applyNumberFormat="1" applyFont="1" applyBorder="1" applyAlignment="1">
      <alignment horizontal="left" vertical="center" wrapText="1"/>
    </xf>
    <xf numFmtId="9" fontId="36" fillId="0" borderId="0" xfId="0" applyNumberFormat="1" applyFont="1" applyFill="1" applyBorder="1" applyAlignment="1">
      <alignment horizontal="center" vertical="center"/>
    </xf>
    <xf numFmtId="1" fontId="15" fillId="4" borderId="53" xfId="0" applyNumberFormat="1" applyFont="1" applyFill="1" applyBorder="1" applyAlignment="1">
      <alignment vertical="center" wrapText="1"/>
    </xf>
    <xf numFmtId="166" fontId="35" fillId="0" borderId="109" xfId="0" applyNumberFormat="1" applyFont="1" applyBorder="1" applyAlignment="1">
      <alignment vertical="center" wrapText="1"/>
    </xf>
    <xf numFmtId="0" fontId="67" fillId="0" borderId="0" xfId="0" applyNumberFormat="1" applyFont="1" applyFill="1" applyBorder="1" applyAlignment="1">
      <alignment horizontal="center" vertical="center"/>
    </xf>
    <xf numFmtId="49" fontId="21" fillId="0" borderId="0" xfId="0" applyNumberFormat="1" applyFont="1" applyBorder="1" applyAlignment="1">
      <alignment horizontal="center" vertical="center" wrapText="1"/>
    </xf>
    <xf numFmtId="0" fontId="32" fillId="0" borderId="67" xfId="0" applyFont="1" applyFill="1" applyBorder="1" applyAlignment="1">
      <alignment horizontal="center" vertical="center" wrapText="1"/>
    </xf>
    <xf numFmtId="9" fontId="8" fillId="4" borderId="118" xfId="2" applyFont="1" applyFill="1" applyBorder="1" applyAlignment="1">
      <alignment vertical="center" wrapText="1"/>
    </xf>
    <xf numFmtId="9" fontId="33" fillId="0" borderId="119" xfId="2" applyFont="1" applyFill="1" applyBorder="1" applyAlignment="1">
      <alignment vertical="center" wrapText="1"/>
    </xf>
    <xf numFmtId="9" fontId="33" fillId="0" borderId="120" xfId="2" applyFont="1" applyFill="1" applyBorder="1" applyAlignment="1">
      <alignment vertical="center" wrapText="1"/>
    </xf>
    <xf numFmtId="9" fontId="8" fillId="4" borderId="121" xfId="2" applyFont="1" applyFill="1" applyBorder="1" applyAlignment="1">
      <alignment vertical="center" wrapText="1"/>
    </xf>
    <xf numFmtId="9" fontId="33" fillId="0" borderId="122" xfId="2" applyFont="1" applyFill="1" applyBorder="1" applyAlignment="1">
      <alignment vertical="center" wrapText="1"/>
    </xf>
    <xf numFmtId="9" fontId="8" fillId="0" borderId="119" xfId="2" applyFont="1" applyFill="1" applyBorder="1" applyAlignment="1">
      <alignment vertical="center" wrapText="1"/>
    </xf>
    <xf numFmtId="166" fontId="33" fillId="0" borderId="123" xfId="0" applyNumberFormat="1" applyFont="1" applyBorder="1" applyAlignment="1">
      <alignment vertical="center" wrapText="1"/>
    </xf>
    <xf numFmtId="49" fontId="8" fillId="0" borderId="117" xfId="0" applyNumberFormat="1" applyFont="1" applyBorder="1" applyAlignment="1">
      <alignment vertical="center"/>
    </xf>
    <xf numFmtId="166" fontId="33" fillId="0" borderId="125" xfId="0" applyNumberFormat="1" applyFont="1" applyFill="1" applyBorder="1" applyAlignment="1">
      <alignment vertical="center" wrapText="1"/>
    </xf>
    <xf numFmtId="166" fontId="33" fillId="0" borderId="126" xfId="0" applyNumberFormat="1" applyFont="1" applyFill="1" applyBorder="1" applyAlignment="1">
      <alignment vertical="center" wrapText="1"/>
    </xf>
    <xf numFmtId="166" fontId="33" fillId="0" borderId="128" xfId="0" applyNumberFormat="1" applyFont="1" applyFill="1" applyBorder="1" applyAlignment="1">
      <alignment vertical="center" wrapText="1"/>
    </xf>
    <xf numFmtId="0" fontId="8" fillId="0" borderId="125" xfId="0" applyFont="1" applyFill="1" applyBorder="1" applyAlignment="1">
      <alignment vertical="center" wrapText="1"/>
    </xf>
    <xf numFmtId="166" fontId="35" fillId="0" borderId="129" xfId="0" applyNumberFormat="1" applyFont="1" applyBorder="1" applyAlignment="1">
      <alignment vertical="center" wrapText="1"/>
    </xf>
    <xf numFmtId="0" fontId="32" fillId="0" borderId="117" xfId="0" applyFont="1" applyFill="1" applyBorder="1" applyAlignment="1">
      <alignment horizontal="center" vertical="center" wrapText="1"/>
    </xf>
    <xf numFmtId="49" fontId="33" fillId="0" borderId="129" xfId="0" applyNumberFormat="1" applyFont="1" applyFill="1" applyBorder="1" applyAlignment="1">
      <alignment horizontal="center" vertical="center" wrapText="1"/>
    </xf>
    <xf numFmtId="9" fontId="8" fillId="4" borderId="124" xfId="2" applyFont="1" applyFill="1" applyBorder="1" applyAlignment="1">
      <alignment vertical="center" wrapText="1"/>
    </xf>
    <xf numFmtId="0" fontId="15" fillId="0" borderId="0" xfId="0" applyFont="1" applyBorder="1" applyAlignment="1">
      <alignment vertical="center" wrapText="1"/>
    </xf>
    <xf numFmtId="0" fontId="59" fillId="16" borderId="1" xfId="0" applyFont="1" applyFill="1" applyBorder="1" applyAlignment="1" applyProtection="1">
      <alignment horizontal="center" vertical="center"/>
      <protection locked="0" hidden="1"/>
    </xf>
    <xf numFmtId="0" fontId="47" fillId="2" borderId="0" xfId="0" applyFont="1" applyFill="1" applyBorder="1" applyAlignment="1" applyProtection="1">
      <alignment horizontal="left"/>
      <protection hidden="1"/>
    </xf>
    <xf numFmtId="0" fontId="23" fillId="0" borderId="0" xfId="0" applyFont="1" applyBorder="1" applyProtection="1">
      <protection hidden="1"/>
    </xf>
    <xf numFmtId="0" fontId="23" fillId="0" borderId="0" xfId="0" applyFont="1" applyBorder="1" applyAlignment="1" applyProtection="1">
      <alignment wrapText="1"/>
      <protection hidden="1"/>
    </xf>
    <xf numFmtId="0" fontId="58" fillId="0" borderId="0" xfId="0" applyFont="1" applyBorder="1" applyProtection="1">
      <protection hidden="1"/>
    </xf>
    <xf numFmtId="0" fontId="53" fillId="0" borderId="0" xfId="0" applyFont="1" applyBorder="1" applyProtection="1">
      <protection hidden="1"/>
    </xf>
    <xf numFmtId="0" fontId="55" fillId="0" borderId="0" xfId="0" applyFont="1" applyBorder="1" applyProtection="1">
      <protection hidden="1"/>
    </xf>
    <xf numFmtId="0" fontId="23" fillId="0" borderId="0" xfId="0" applyFont="1" applyBorder="1" applyAlignment="1" applyProtection="1">
      <alignment horizontal="center" vertical="center" wrapText="1"/>
      <protection hidden="1"/>
    </xf>
    <xf numFmtId="0" fontId="48" fillId="2" borderId="0" xfId="0" applyFont="1" applyFill="1" applyBorder="1" applyAlignment="1" applyProtection="1">
      <alignment horizontal="left" vertical="center"/>
      <protection hidden="1"/>
    </xf>
    <xf numFmtId="0" fontId="58" fillId="0" borderId="18" xfId="0" applyFont="1" applyFill="1" applyBorder="1" applyAlignment="1" applyProtection="1">
      <alignment horizontal="right"/>
      <protection hidden="1"/>
    </xf>
    <xf numFmtId="0" fontId="8" fillId="0" borderId="67" xfId="0" applyFont="1" applyFill="1" applyBorder="1" applyAlignment="1" applyProtection="1">
      <alignment horizontal="right"/>
      <protection hidden="1"/>
    </xf>
    <xf numFmtId="0" fontId="8" fillId="0" borderId="67" xfId="0" applyFont="1" applyFill="1" applyBorder="1" applyAlignment="1" applyProtection="1">
      <alignment horizontal="center"/>
      <protection hidden="1"/>
    </xf>
    <xf numFmtId="0" fontId="15" fillId="0" borderId="0" xfId="0" applyFont="1" applyBorder="1" applyAlignment="1" applyProtection="1">
      <alignment horizontal="center" vertical="center" wrapText="1"/>
      <protection hidden="1"/>
    </xf>
    <xf numFmtId="0" fontId="8" fillId="0" borderId="0" xfId="0" applyFont="1" applyBorder="1" applyAlignment="1" applyProtection="1">
      <alignment horizontal="right" vertical="center"/>
      <protection hidden="1"/>
    </xf>
    <xf numFmtId="0" fontId="58" fillId="0" borderId="18" xfId="0" applyFont="1" applyBorder="1" applyAlignment="1" applyProtection="1">
      <alignment horizontal="right"/>
      <protection hidden="1"/>
    </xf>
    <xf numFmtId="0" fontId="8" fillId="0" borderId="67" xfId="0" applyFont="1" applyBorder="1" applyAlignment="1" applyProtection="1">
      <alignment horizontal="right"/>
      <protection hidden="1"/>
    </xf>
    <xf numFmtId="0" fontId="8" fillId="0" borderId="67" xfId="0" applyFont="1" applyBorder="1" applyAlignment="1" applyProtection="1">
      <alignment horizontal="center"/>
      <protection hidden="1"/>
    </xf>
    <xf numFmtId="0" fontId="8" fillId="0" borderId="0" xfId="0" applyFont="1" applyBorder="1" applyProtection="1">
      <protection hidden="1"/>
    </xf>
    <xf numFmtId="0" fontId="8" fillId="0" borderId="0" xfId="0" applyFont="1" applyFill="1" applyBorder="1" applyProtection="1">
      <protection hidden="1"/>
    </xf>
    <xf numFmtId="0" fontId="23" fillId="0" borderId="0" xfId="0" applyFont="1" applyBorder="1" applyAlignment="1" applyProtection="1">
      <alignment horizontal="right" vertical="center"/>
      <protection hidden="1"/>
    </xf>
    <xf numFmtId="0" fontId="59" fillId="0" borderId="18" xfId="0" applyFont="1" applyBorder="1" applyAlignment="1" applyProtection="1">
      <alignment horizontal="right"/>
      <protection hidden="1"/>
    </xf>
    <xf numFmtId="0" fontId="8" fillId="0" borderId="0" xfId="0" applyFont="1" applyBorder="1" applyAlignment="1" applyProtection="1">
      <alignment horizontal="center" vertical="center" wrapText="1"/>
      <protection hidden="1"/>
    </xf>
    <xf numFmtId="0" fontId="15" fillId="18" borderId="5" xfId="0" applyFont="1" applyFill="1" applyBorder="1" applyAlignment="1" applyProtection="1">
      <alignment horizontal="left" vertical="center" wrapText="1"/>
      <protection hidden="1"/>
    </xf>
    <xf numFmtId="0" fontId="15" fillId="18" borderId="7" xfId="0" applyFont="1" applyFill="1" applyBorder="1" applyAlignment="1" applyProtection="1">
      <alignment horizontal="center" vertical="center" wrapText="1"/>
      <protection hidden="1"/>
    </xf>
    <xf numFmtId="0" fontId="8" fillId="0" borderId="0" xfId="0" applyFont="1" applyBorder="1" applyAlignment="1" applyProtection="1">
      <alignment horizontal="left" vertical="center" wrapText="1"/>
      <protection hidden="1"/>
    </xf>
    <xf numFmtId="0" fontId="8" fillId="0" borderId="0" xfId="0" applyFont="1" applyFill="1" applyBorder="1" applyAlignment="1" applyProtection="1">
      <alignment horizontal="left" vertical="center" wrapText="1"/>
      <protection hidden="1"/>
    </xf>
    <xf numFmtId="0" fontId="8" fillId="0" borderId="5" xfId="0" applyFont="1" applyBorder="1" applyAlignment="1" applyProtection="1">
      <alignment horizontal="left" vertical="center" wrapText="1"/>
      <protection hidden="1"/>
    </xf>
    <xf numFmtId="0" fontId="8" fillId="0" borderId="7" xfId="0" applyFont="1" applyBorder="1" applyAlignment="1" applyProtection="1">
      <alignment horizontal="center" vertical="center" wrapText="1"/>
      <protection hidden="1"/>
    </xf>
    <xf numFmtId="0" fontId="8" fillId="0" borderId="66" xfId="0" applyFont="1" applyBorder="1" applyAlignment="1" applyProtection="1">
      <alignment horizontal="center"/>
      <protection hidden="1"/>
    </xf>
    <xf numFmtId="0" fontId="41" fillId="0" borderId="0" xfId="0" applyFont="1" applyBorder="1" applyAlignment="1" applyProtection="1">
      <alignment horizontal="center"/>
      <protection hidden="1"/>
    </xf>
    <xf numFmtId="0" fontId="8" fillId="0" borderId="0" xfId="0" applyFont="1" applyBorder="1" applyAlignment="1" applyProtection="1">
      <alignment horizontal="right" wrapText="1"/>
      <protection hidden="1"/>
    </xf>
    <xf numFmtId="0" fontId="8" fillId="0" borderId="0" xfId="0" applyFont="1" applyBorder="1" applyAlignment="1" applyProtection="1">
      <alignment wrapText="1"/>
      <protection hidden="1"/>
    </xf>
    <xf numFmtId="0" fontId="8" fillId="0" borderId="19" xfId="0" applyFont="1" applyBorder="1" applyAlignment="1" applyProtection="1">
      <alignment horizontal="left" vertical="center" wrapText="1"/>
      <protection hidden="1"/>
    </xf>
    <xf numFmtId="0" fontId="8" fillId="0" borderId="93" xfId="0" applyFont="1" applyBorder="1" applyAlignment="1" applyProtection="1">
      <alignment horizontal="center" vertical="center" wrapText="1"/>
      <protection hidden="1"/>
    </xf>
    <xf numFmtId="0" fontId="23" fillId="2" borderId="0" xfId="0" applyFont="1" applyFill="1" applyBorder="1" applyAlignment="1" applyProtection="1">
      <protection hidden="1"/>
    </xf>
    <xf numFmtId="0" fontId="23" fillId="2" borderId="0" xfId="0" applyFont="1" applyFill="1" applyBorder="1" applyAlignment="1" applyProtection="1">
      <alignment horizontal="right" vertical="center"/>
      <protection hidden="1"/>
    </xf>
    <xf numFmtId="0" fontId="17" fillId="2" borderId="0" xfId="0" applyFont="1" applyFill="1" applyBorder="1" applyAlignment="1" applyProtection="1">
      <alignment horizontal="right"/>
      <protection hidden="1"/>
    </xf>
    <xf numFmtId="0" fontId="17" fillId="0" borderId="0" xfId="0" applyFont="1" applyBorder="1" applyAlignment="1" applyProtection="1">
      <alignment horizontal="center"/>
      <protection hidden="1"/>
    </xf>
    <xf numFmtId="0" fontId="23" fillId="2" borderId="0" xfId="0" applyFont="1" applyFill="1" applyBorder="1" applyAlignment="1" applyProtection="1">
      <alignment horizontal="center" vertical="center"/>
      <protection hidden="1"/>
    </xf>
    <xf numFmtId="0" fontId="23" fillId="0" borderId="0" xfId="0" applyFont="1" applyProtection="1">
      <protection hidden="1"/>
    </xf>
    <xf numFmtId="0" fontId="23" fillId="0" borderId="0" xfId="0" applyFont="1" applyBorder="1" applyAlignment="1" applyProtection="1">
      <protection hidden="1"/>
    </xf>
    <xf numFmtId="0" fontId="21" fillId="14" borderId="0" xfId="0" applyFont="1" applyFill="1" applyBorder="1" applyAlignment="1" applyProtection="1">
      <alignment horizontal="left" vertical="center"/>
      <protection hidden="1"/>
    </xf>
    <xf numFmtId="0" fontId="17" fillId="14" borderId="0" xfId="0" applyFont="1" applyFill="1" applyBorder="1" applyAlignment="1" applyProtection="1">
      <alignment horizontal="left" vertical="center"/>
      <protection hidden="1"/>
    </xf>
    <xf numFmtId="0" fontId="52" fillId="14" borderId="0" xfId="0" applyFont="1" applyFill="1" applyBorder="1" applyAlignment="1" applyProtection="1">
      <alignment vertical="center"/>
      <protection hidden="1"/>
    </xf>
    <xf numFmtId="0" fontId="15" fillId="0" borderId="0" xfId="0" applyFont="1" applyFill="1" applyBorder="1" applyProtection="1">
      <protection hidden="1"/>
    </xf>
    <xf numFmtId="0" fontId="56" fillId="16" borderId="7" xfId="0" applyFont="1" applyFill="1" applyBorder="1" applyAlignment="1" applyProtection="1">
      <alignment horizontal="center" vertical="center"/>
      <protection hidden="1"/>
    </xf>
    <xf numFmtId="0" fontId="21" fillId="0" borderId="1" xfId="0" applyNumberFormat="1" applyFont="1" applyBorder="1" applyAlignment="1" applyProtection="1">
      <alignment horizontal="center" vertical="center" wrapText="1"/>
      <protection hidden="1"/>
    </xf>
    <xf numFmtId="0" fontId="23" fillId="0" borderId="0" xfId="0" applyFont="1" applyBorder="1" applyAlignment="1" applyProtection="1">
      <alignment vertical="top"/>
      <protection hidden="1"/>
    </xf>
    <xf numFmtId="0" fontId="8" fillId="0" borderId="0" xfId="0" applyFont="1" applyBorder="1" applyAlignment="1" applyProtection="1">
      <alignment vertical="top"/>
      <protection hidden="1"/>
    </xf>
    <xf numFmtId="0" fontId="21"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vertical="center" wrapText="1"/>
      <protection hidden="1"/>
    </xf>
    <xf numFmtId="0" fontId="21" fillId="0" borderId="0" xfId="0" applyFont="1" applyFill="1" applyBorder="1" applyAlignment="1" applyProtection="1">
      <alignment vertical="center"/>
      <protection hidden="1"/>
    </xf>
    <xf numFmtId="0" fontId="15" fillId="0" borderId="0" xfId="0" applyFont="1" applyFill="1" applyBorder="1" applyAlignment="1" applyProtection="1">
      <alignment vertical="center"/>
      <protection hidden="1"/>
    </xf>
    <xf numFmtId="0" fontId="21" fillId="0" borderId="0" xfId="0" applyFont="1" applyFill="1" applyBorder="1" applyAlignment="1" applyProtection="1">
      <alignment horizontal="left" vertical="center" wrapText="1"/>
      <protection hidden="1"/>
    </xf>
    <xf numFmtId="0" fontId="33" fillId="0" borderId="0" xfId="0" applyFont="1" applyBorder="1" applyAlignment="1" applyProtection="1">
      <alignment horizontal="center" vertical="center"/>
      <protection hidden="1"/>
    </xf>
    <xf numFmtId="0" fontId="33" fillId="0" borderId="0" xfId="0" applyFont="1" applyBorder="1" applyAlignment="1" applyProtection="1">
      <alignment horizontal="center" vertical="center" textRotation="255"/>
      <protection hidden="1"/>
    </xf>
    <xf numFmtId="0" fontId="21" fillId="0" borderId="0" xfId="0" applyFont="1" applyFill="1" applyBorder="1" applyAlignment="1" applyProtection="1">
      <alignment horizontal="left" vertical="center" wrapText="1" shrinkToFit="1"/>
      <protection hidden="1"/>
    </xf>
    <xf numFmtId="0" fontId="50" fillId="0" borderId="0" xfId="0" applyFont="1" applyFill="1" applyBorder="1" applyAlignment="1" applyProtection="1">
      <alignment vertical="center" wrapText="1"/>
      <protection hidden="1"/>
    </xf>
    <xf numFmtId="0" fontId="21" fillId="0" borderId="0" xfId="0" applyFont="1" applyFill="1" applyBorder="1" applyAlignment="1" applyProtection="1">
      <alignment horizontal="center" vertical="center" wrapText="1"/>
      <protection hidden="1"/>
    </xf>
    <xf numFmtId="0" fontId="23" fillId="0" borderId="0" xfId="0" applyFont="1" applyFill="1" applyBorder="1" applyProtection="1">
      <protection hidden="1"/>
    </xf>
    <xf numFmtId="0" fontId="15" fillId="0" borderId="1" xfId="0" applyFont="1" applyBorder="1" applyAlignment="1" applyProtection="1">
      <alignment vertical="center" wrapText="1"/>
      <protection hidden="1"/>
    </xf>
    <xf numFmtId="0" fontId="15" fillId="0" borderId="0" xfId="0" applyFont="1" applyBorder="1" applyProtection="1">
      <protection hidden="1"/>
    </xf>
    <xf numFmtId="0" fontId="23" fillId="0" borderId="0" xfId="0" applyFont="1" applyBorder="1" applyAlignment="1" applyProtection="1">
      <alignment horizontal="center"/>
      <protection hidden="1"/>
    </xf>
    <xf numFmtId="14" fontId="15" fillId="0" borderId="1" xfId="0" applyNumberFormat="1" applyFont="1" applyFill="1" applyBorder="1" applyAlignment="1" applyProtection="1">
      <alignment horizontal="left" wrapText="1"/>
      <protection locked="0" hidden="1"/>
    </xf>
    <xf numFmtId="0" fontId="41" fillId="0" borderId="66" xfId="0" applyFont="1" applyBorder="1" applyAlignment="1" applyProtection="1">
      <alignment horizontal="center"/>
      <protection locked="0" hidden="1"/>
    </xf>
    <xf numFmtId="0" fontId="8" fillId="0" borderId="66" xfId="0" applyFont="1" applyBorder="1" applyAlignment="1" applyProtection="1">
      <alignment vertical="top" wrapText="1"/>
      <protection locked="0" hidden="1"/>
    </xf>
    <xf numFmtId="0" fontId="23" fillId="0" borderId="66" xfId="0" applyFont="1" applyBorder="1" applyAlignment="1" applyProtection="1">
      <alignment vertical="top" wrapText="1"/>
      <protection locked="0" hidden="1"/>
    </xf>
    <xf numFmtId="0" fontId="33" fillId="0" borderId="1" xfId="0" applyFont="1" applyBorder="1" applyAlignment="1" applyProtection="1">
      <alignment horizontal="center" vertical="center"/>
      <protection locked="0" hidden="1"/>
    </xf>
    <xf numFmtId="0" fontId="19" fillId="0" borderId="0" xfId="0" applyFont="1" applyFill="1" applyBorder="1" applyAlignment="1" applyProtection="1">
      <alignment horizontal="left" indent="1"/>
      <protection hidden="1"/>
    </xf>
    <xf numFmtId="0" fontId="16" fillId="0" borderId="1" xfId="0" applyFont="1" applyBorder="1" applyAlignment="1" applyProtection="1">
      <alignment horizontal="center" wrapText="1"/>
      <protection hidden="1"/>
    </xf>
    <xf numFmtId="0" fontId="15" fillId="0" borderId="1" xfId="0" applyFont="1" applyBorder="1" applyAlignment="1" applyProtection="1">
      <alignment horizontal="center"/>
      <protection hidden="1"/>
    </xf>
    <xf numFmtId="0" fontId="8" fillId="0" borderId="1" xfId="0" applyFont="1" applyBorder="1" applyAlignment="1" applyProtection="1">
      <alignment horizontal="right" indent="1"/>
      <protection hidden="1"/>
    </xf>
    <xf numFmtId="0" fontId="0" fillId="0" borderId="1" xfId="0" applyBorder="1" applyAlignment="1" applyProtection="1">
      <alignment horizontal="center" wrapText="1"/>
      <protection hidden="1"/>
    </xf>
    <xf numFmtId="0" fontId="23" fillId="0" borderId="1" xfId="0" applyFont="1" applyBorder="1" applyAlignment="1" applyProtection="1">
      <alignment horizontal="right" indent="1"/>
      <protection hidden="1"/>
    </xf>
    <xf numFmtId="0" fontId="0" fillId="0" borderId="0" xfId="0" applyBorder="1" applyAlignment="1" applyProtection="1">
      <alignment wrapText="1"/>
      <protection hidden="1"/>
    </xf>
    <xf numFmtId="0" fontId="10" fillId="6" borderId="2" xfId="0" applyFont="1" applyFill="1" applyBorder="1" applyAlignment="1" applyProtection="1">
      <alignment horizontal="center" vertical="center" wrapText="1"/>
      <protection hidden="1"/>
    </xf>
    <xf numFmtId="0" fontId="11" fillId="6" borderId="3" xfId="0" applyFont="1" applyFill="1" applyBorder="1" applyAlignment="1" applyProtection="1">
      <alignment vertical="center"/>
      <protection hidden="1"/>
    </xf>
    <xf numFmtId="0" fontId="11" fillId="6" borderId="3" xfId="0" applyFont="1" applyFill="1" applyBorder="1" applyAlignment="1" applyProtection="1">
      <alignment vertical="center" wrapText="1"/>
      <protection hidden="1"/>
    </xf>
    <xf numFmtId="0" fontId="11" fillId="6" borderId="22" xfId="0" applyFont="1" applyFill="1" applyBorder="1" applyAlignment="1" applyProtection="1">
      <alignment vertical="center" wrapText="1"/>
      <protection hidden="1"/>
    </xf>
    <xf numFmtId="0" fontId="11" fillId="6" borderId="72" xfId="0" applyFont="1" applyFill="1" applyBorder="1" applyAlignment="1" applyProtection="1">
      <alignment vertical="center"/>
      <protection hidden="1"/>
    </xf>
    <xf numFmtId="0" fontId="14" fillId="0" borderId="5" xfId="0" applyFont="1" applyFill="1" applyBorder="1" applyAlignment="1" applyProtection="1">
      <alignment horizontal="center" vertical="center" wrapText="1"/>
      <protection hidden="1"/>
    </xf>
    <xf numFmtId="0" fontId="14" fillId="0" borderId="1" xfId="0" applyFont="1" applyFill="1" applyBorder="1" applyAlignment="1" applyProtection="1">
      <alignment horizontal="center" vertical="center" wrapText="1"/>
      <protection hidden="1"/>
    </xf>
    <xf numFmtId="0" fontId="14" fillId="0" borderId="1" xfId="0" applyFont="1" applyFill="1" applyBorder="1" applyAlignment="1" applyProtection="1">
      <alignment vertical="center" wrapText="1"/>
      <protection hidden="1"/>
    </xf>
    <xf numFmtId="0" fontId="14" fillId="0" borderId="7" xfId="0" applyFont="1" applyFill="1" applyBorder="1" applyAlignment="1" applyProtection="1">
      <alignment horizontal="center" vertical="center" wrapText="1" shrinkToFit="1"/>
      <protection hidden="1"/>
    </xf>
    <xf numFmtId="0" fontId="42" fillId="0" borderId="0" xfId="0" applyFont="1" applyFill="1" applyBorder="1" applyProtection="1">
      <protection hidden="1"/>
    </xf>
    <xf numFmtId="0" fontId="12" fillId="0" borderId="5" xfId="0" applyFont="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3" fillId="0" borderId="1" xfId="0" applyFont="1" applyBorder="1" applyAlignment="1" applyProtection="1">
      <alignment vertical="top" wrapText="1"/>
      <protection hidden="1"/>
    </xf>
    <xf numFmtId="0" fontId="9" fillId="0" borderId="1" xfId="0" applyFont="1" applyBorder="1" applyAlignment="1" applyProtection="1">
      <alignment vertical="top" wrapText="1"/>
      <protection hidden="1"/>
    </xf>
    <xf numFmtId="0" fontId="13" fillId="0" borderId="7" xfId="0" applyFont="1" applyFill="1" applyBorder="1" applyAlignment="1" applyProtection="1">
      <alignment horizontal="center" vertical="center" wrapText="1"/>
      <protection hidden="1"/>
    </xf>
    <xf numFmtId="0" fontId="0" fillId="0" borderId="0" xfId="0" applyBorder="1" applyAlignment="1" applyProtection="1">
      <alignment vertical="top"/>
      <protection hidden="1"/>
    </xf>
    <xf numFmtId="0" fontId="10" fillId="8" borderId="5" xfId="0" applyFont="1" applyFill="1" applyBorder="1" applyAlignment="1" applyProtection="1">
      <alignment horizontal="center" vertical="center" wrapText="1"/>
      <protection hidden="1"/>
    </xf>
    <xf numFmtId="0" fontId="11" fillId="8" borderId="1" xfId="0" applyFont="1" applyFill="1" applyBorder="1" applyAlignment="1" applyProtection="1">
      <alignment vertical="center"/>
      <protection hidden="1"/>
    </xf>
    <xf numFmtId="0" fontId="11" fillId="8" borderId="1" xfId="0" applyFont="1" applyFill="1" applyBorder="1" applyAlignment="1" applyProtection="1">
      <alignment vertical="center" wrapText="1"/>
      <protection hidden="1"/>
    </xf>
    <xf numFmtId="0" fontId="11" fillId="8" borderId="18" xfId="0" applyFont="1" applyFill="1" applyBorder="1" applyAlignment="1" applyProtection="1">
      <alignment vertical="center" wrapText="1"/>
      <protection hidden="1"/>
    </xf>
    <xf numFmtId="0" fontId="11" fillId="8" borderId="68" xfId="0" applyFont="1" applyFill="1" applyBorder="1" applyAlignment="1" applyProtection="1">
      <alignment vertical="center"/>
      <protection hidden="1"/>
    </xf>
    <xf numFmtId="0" fontId="14" fillId="0" borderId="0" xfId="0" applyFont="1" applyFill="1" applyBorder="1" applyAlignment="1" applyProtection="1">
      <alignment vertical="center"/>
      <protection hidden="1"/>
    </xf>
    <xf numFmtId="0" fontId="14" fillId="0" borderId="0" xfId="0" applyFont="1" applyFill="1" applyBorder="1" applyAlignment="1" applyProtection="1">
      <alignment horizontal="center" vertical="center"/>
      <protection hidden="1"/>
    </xf>
    <xf numFmtId="0" fontId="14" fillId="0" borderId="0" xfId="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4" fillId="0" borderId="0" xfId="0" applyFont="1" applyFill="1" applyBorder="1" applyAlignment="1" applyProtection="1">
      <alignment horizontal="left" vertical="center" wrapText="1"/>
      <protection hidden="1"/>
    </xf>
    <xf numFmtId="0" fontId="12" fillId="0" borderId="0" xfId="0" applyFont="1" applyBorder="1" applyAlignment="1" applyProtection="1">
      <alignment horizontal="center" vertical="center"/>
      <protection hidden="1"/>
    </xf>
    <xf numFmtId="0" fontId="12" fillId="0" borderId="0" xfId="0" applyFont="1" applyBorder="1" applyAlignment="1" applyProtection="1">
      <alignment horizontal="center" vertical="center" textRotation="255"/>
      <protection hidden="1"/>
    </xf>
    <xf numFmtId="0" fontId="14" fillId="0" borderId="0" xfId="0" applyFont="1" applyFill="1" applyBorder="1" applyAlignment="1" applyProtection="1">
      <alignment horizontal="left" vertical="center" wrapText="1" shrinkToFit="1"/>
      <protection hidden="1"/>
    </xf>
    <xf numFmtId="0" fontId="18" fillId="0" borderId="0" xfId="0" applyFont="1" applyFill="1" applyBorder="1" applyAlignment="1" applyProtection="1">
      <alignment vertical="center" wrapText="1"/>
      <protection hidden="1"/>
    </xf>
    <xf numFmtId="0" fontId="14" fillId="0" borderId="0" xfId="0" applyFont="1" applyFill="1" applyBorder="1" applyAlignment="1" applyProtection="1">
      <alignment horizontal="center" vertical="center" wrapText="1"/>
      <protection hidden="1"/>
    </xf>
    <xf numFmtId="0" fontId="0" fillId="0" borderId="0" xfId="0" applyFill="1" applyBorder="1" applyProtection="1">
      <protection hidden="1"/>
    </xf>
    <xf numFmtId="0" fontId="10" fillId="5" borderId="5" xfId="0" applyFont="1" applyFill="1" applyBorder="1" applyAlignment="1" applyProtection="1">
      <alignment horizontal="center" vertical="center" wrapText="1"/>
      <protection hidden="1"/>
    </xf>
    <xf numFmtId="0" fontId="11" fillId="5" borderId="1" xfId="0" applyFont="1" applyFill="1" applyBorder="1" applyAlignment="1" applyProtection="1">
      <alignment vertical="center"/>
      <protection hidden="1"/>
    </xf>
    <xf numFmtId="0" fontId="11" fillId="5" borderId="1" xfId="0" applyFont="1" applyFill="1" applyBorder="1" applyAlignment="1" applyProtection="1">
      <alignment vertical="center" wrapText="1"/>
      <protection hidden="1"/>
    </xf>
    <xf numFmtId="0" fontId="11" fillId="5" borderId="18" xfId="0" applyFont="1" applyFill="1" applyBorder="1" applyAlignment="1" applyProtection="1">
      <alignment vertical="center" wrapText="1"/>
      <protection hidden="1"/>
    </xf>
    <xf numFmtId="0" fontId="11" fillId="5" borderId="68" xfId="0" applyFont="1" applyFill="1" applyBorder="1" applyAlignment="1" applyProtection="1">
      <alignment vertical="center"/>
      <protection hidden="1"/>
    </xf>
    <xf numFmtId="0" fontId="10" fillId="9" borderId="5" xfId="0" applyFont="1" applyFill="1" applyBorder="1" applyAlignment="1" applyProtection="1">
      <alignment horizontal="center" vertical="center" wrapText="1"/>
      <protection hidden="1"/>
    </xf>
    <xf numFmtId="0" fontId="11" fillId="9" borderId="1" xfId="0" applyFont="1" applyFill="1" applyBorder="1" applyAlignment="1" applyProtection="1">
      <alignment vertical="center"/>
      <protection hidden="1"/>
    </xf>
    <xf numFmtId="0" fontId="11" fillId="9" borderId="1" xfId="0" applyFont="1" applyFill="1" applyBorder="1" applyAlignment="1" applyProtection="1">
      <alignment vertical="center" wrapText="1"/>
      <protection hidden="1"/>
    </xf>
    <xf numFmtId="0" fontId="11" fillId="9" borderId="18" xfId="0" applyFont="1" applyFill="1" applyBorder="1" applyAlignment="1" applyProtection="1">
      <alignment vertical="center" wrapText="1"/>
      <protection hidden="1"/>
    </xf>
    <xf numFmtId="0" fontId="11" fillId="9" borderId="68" xfId="0" applyFont="1" applyFill="1" applyBorder="1" applyAlignment="1" applyProtection="1">
      <alignment vertical="center"/>
      <protection hidden="1"/>
    </xf>
    <xf numFmtId="0" fontId="10" fillId="10" borderId="5" xfId="0" applyFont="1" applyFill="1" applyBorder="1" applyAlignment="1" applyProtection="1">
      <alignment horizontal="center" vertical="center" wrapText="1"/>
      <protection hidden="1"/>
    </xf>
    <xf numFmtId="0" fontId="11" fillId="10" borderId="1" xfId="0" applyFont="1" applyFill="1" applyBorder="1" applyAlignment="1" applyProtection="1">
      <alignment vertical="center"/>
      <protection hidden="1"/>
    </xf>
    <xf numFmtId="0" fontId="11" fillId="10" borderId="1" xfId="0" applyFont="1" applyFill="1" applyBorder="1" applyAlignment="1" applyProtection="1">
      <alignment vertical="center" wrapText="1"/>
      <protection hidden="1"/>
    </xf>
    <xf numFmtId="0" fontId="11" fillId="10" borderId="18" xfId="0" applyFont="1" applyFill="1" applyBorder="1" applyAlignment="1" applyProtection="1">
      <alignment vertical="center" wrapText="1"/>
      <protection hidden="1"/>
    </xf>
    <xf numFmtId="0" fontId="11" fillId="10" borderId="68" xfId="0" applyFont="1" applyFill="1" applyBorder="1" applyAlignment="1" applyProtection="1">
      <alignment vertical="center"/>
      <protection hidden="1"/>
    </xf>
    <xf numFmtId="0" fontId="10" fillId="11" borderId="5" xfId="0" applyFont="1" applyFill="1" applyBorder="1" applyAlignment="1" applyProtection="1">
      <alignment horizontal="center" vertical="center" wrapText="1"/>
      <protection hidden="1"/>
    </xf>
    <xf numFmtId="0" fontId="11" fillId="11" borderId="1" xfId="0" applyFont="1" applyFill="1" applyBorder="1" applyAlignment="1" applyProtection="1">
      <alignment vertical="center"/>
      <protection hidden="1"/>
    </xf>
    <xf numFmtId="0" fontId="11" fillId="11" borderId="1" xfId="0" applyFont="1" applyFill="1" applyBorder="1" applyAlignment="1" applyProtection="1">
      <alignment vertical="center" wrapText="1"/>
      <protection hidden="1"/>
    </xf>
    <xf numFmtId="0" fontId="11" fillId="11" borderId="18" xfId="0" applyFont="1" applyFill="1" applyBorder="1" applyAlignment="1" applyProtection="1">
      <alignment vertical="center" wrapText="1"/>
      <protection hidden="1"/>
    </xf>
    <xf numFmtId="0" fontId="11" fillId="11" borderId="68" xfId="0" applyFont="1" applyFill="1" applyBorder="1" applyAlignment="1" applyProtection="1">
      <alignment vertical="center"/>
      <protection hidden="1"/>
    </xf>
    <xf numFmtId="0" fontId="12" fillId="2" borderId="5" xfId="0" applyFont="1" applyFill="1" applyBorder="1" applyAlignment="1" applyProtection="1">
      <alignment horizontal="center" vertical="center"/>
      <protection hidden="1"/>
    </xf>
    <xf numFmtId="0" fontId="12" fillId="2" borderId="1" xfId="0" applyFont="1" applyFill="1" applyBorder="1" applyAlignment="1" applyProtection="1">
      <alignment vertical="center"/>
      <protection hidden="1"/>
    </xf>
    <xf numFmtId="0" fontId="13" fillId="2" borderId="1" xfId="0" applyFont="1" applyFill="1" applyBorder="1" applyAlignment="1" applyProtection="1">
      <alignment vertical="center" wrapText="1"/>
      <protection hidden="1"/>
    </xf>
    <xf numFmtId="0" fontId="9" fillId="2" borderId="7" xfId="0" applyFont="1" applyFill="1" applyBorder="1" applyAlignment="1" applyProtection="1">
      <alignment horizontal="center" vertical="center" wrapText="1"/>
      <protection hidden="1"/>
    </xf>
    <xf numFmtId="0" fontId="0" fillId="2" borderId="5" xfId="0" applyFill="1" applyBorder="1" applyProtection="1">
      <protection hidden="1"/>
    </xf>
    <xf numFmtId="0" fontId="0" fillId="2" borderId="1" xfId="0" applyFill="1" applyBorder="1" applyProtection="1">
      <protection hidden="1"/>
    </xf>
    <xf numFmtId="0" fontId="0" fillId="2" borderId="1" xfId="0" applyFill="1" applyBorder="1" applyAlignment="1" applyProtection="1">
      <alignment wrapText="1"/>
      <protection hidden="1"/>
    </xf>
    <xf numFmtId="0" fontId="0" fillId="2" borderId="7" xfId="0" applyFill="1" applyBorder="1" applyAlignment="1" applyProtection="1">
      <alignment horizontal="center" vertical="center" wrapText="1"/>
      <protection hidden="1"/>
    </xf>
    <xf numFmtId="0" fontId="16" fillId="0" borderId="0" xfId="0" applyFont="1" applyBorder="1" applyProtection="1">
      <protection hidden="1"/>
    </xf>
    <xf numFmtId="0" fontId="0" fillId="0" borderId="1" xfId="0" applyBorder="1" applyAlignment="1" applyProtection="1">
      <alignment horizontal="center" vertical="center" wrapText="1"/>
      <protection locked="0" hidden="1"/>
    </xf>
    <xf numFmtId="0" fontId="23" fillId="0" borderId="1" xfId="0" applyFont="1" applyFill="1" applyBorder="1" applyAlignment="1" applyProtection="1">
      <alignment horizontal="center" vertical="center"/>
      <protection locked="0" hidden="1"/>
    </xf>
    <xf numFmtId="0" fontId="8" fillId="0" borderId="1" xfId="0" applyFont="1" applyFill="1" applyBorder="1" applyAlignment="1" applyProtection="1">
      <alignment horizontal="center" vertical="center"/>
      <protection locked="0" hidden="1"/>
    </xf>
    <xf numFmtId="0" fontId="0" fillId="15" borderId="24" xfId="0" applyFill="1" applyBorder="1" applyAlignment="1" applyProtection="1">
      <protection hidden="1"/>
    </xf>
    <xf numFmtId="0" fontId="0" fillId="15" borderId="0" xfId="0" applyFill="1" applyBorder="1" applyAlignment="1" applyProtection="1">
      <protection hidden="1"/>
    </xf>
    <xf numFmtId="0" fontId="0" fillId="15" borderId="0" xfId="0" applyFill="1" applyBorder="1" applyProtection="1">
      <protection hidden="1"/>
    </xf>
    <xf numFmtId="0" fontId="15" fillId="17" borderId="18" xfId="0" applyFont="1" applyFill="1" applyBorder="1" applyAlignment="1" applyProtection="1">
      <alignment horizontal="right" vertical="center"/>
      <protection hidden="1"/>
    </xf>
    <xf numFmtId="0" fontId="15" fillId="17" borderId="67" xfId="0" applyFont="1" applyFill="1" applyBorder="1" applyAlignment="1" applyProtection="1">
      <alignment horizontal="left" vertical="center" wrapText="1"/>
      <protection hidden="1"/>
    </xf>
    <xf numFmtId="0" fontId="8" fillId="17" borderId="67" xfId="0" applyFont="1" applyFill="1" applyBorder="1" applyAlignment="1" applyProtection="1">
      <alignment horizontal="center" vertical="top"/>
      <protection hidden="1"/>
    </xf>
    <xf numFmtId="0" fontId="8" fillId="17" borderId="66" xfId="0" applyFont="1" applyFill="1" applyBorder="1" applyAlignment="1" applyProtection="1">
      <alignment vertical="top"/>
      <protection hidden="1"/>
    </xf>
    <xf numFmtId="0" fontId="15" fillId="0" borderId="11" xfId="0" applyFont="1" applyBorder="1" applyAlignment="1" applyProtection="1">
      <alignment horizontal="left" vertical="center" wrapText="1"/>
      <protection hidden="1"/>
    </xf>
    <xf numFmtId="0" fontId="15" fillId="0" borderId="1" xfId="0" applyFont="1" applyBorder="1" applyAlignment="1" applyProtection="1">
      <alignment horizontal="left" vertical="center" wrapText="1"/>
      <protection hidden="1"/>
    </xf>
    <xf numFmtId="0" fontId="15" fillId="0" borderId="10" xfId="0" applyFont="1" applyBorder="1" applyAlignment="1" applyProtection="1">
      <alignment horizontal="left" vertical="center" wrapText="1"/>
      <protection hidden="1"/>
    </xf>
    <xf numFmtId="0" fontId="8" fillId="0" borderId="24" xfId="0" applyFont="1" applyBorder="1" applyAlignment="1" applyProtection="1">
      <alignment vertical="center"/>
      <protection locked="0" hidden="1"/>
    </xf>
    <xf numFmtId="0" fontId="26" fillId="3" borderId="0" xfId="0" applyFont="1" applyFill="1" applyAlignment="1" applyProtection="1">
      <alignment horizontal="left" vertical="center" wrapText="1"/>
      <protection hidden="1"/>
    </xf>
    <xf numFmtId="0" fontId="24" fillId="0" borderId="0" xfId="0" applyFont="1" applyAlignment="1" applyProtection="1">
      <alignment vertical="center"/>
      <protection hidden="1"/>
    </xf>
    <xf numFmtId="0" fontId="21" fillId="0" borderId="0" xfId="0" applyFont="1" applyFill="1" applyAlignment="1" applyProtection="1">
      <alignment horizontal="left" vertical="center" wrapText="1"/>
      <protection hidden="1"/>
    </xf>
    <xf numFmtId="0" fontId="24" fillId="0" borderId="0" xfId="0" applyFont="1" applyFill="1" applyAlignment="1" applyProtection="1">
      <alignment vertical="center"/>
      <protection hidden="1"/>
    </xf>
    <xf numFmtId="0" fontId="38" fillId="0" borderId="0" xfId="0" applyFont="1" applyAlignment="1" applyProtection="1">
      <alignment horizontal="left" vertical="center" wrapText="1"/>
      <protection hidden="1"/>
    </xf>
    <xf numFmtId="0" fontId="16" fillId="0" borderId="0" xfId="0" applyFont="1" applyAlignment="1" applyProtection="1">
      <alignment horizontal="left" vertical="center" wrapText="1"/>
      <protection hidden="1"/>
    </xf>
    <xf numFmtId="0" fontId="15" fillId="0" borderId="0" xfId="0" applyFont="1" applyAlignment="1" applyProtection="1">
      <alignment horizontal="left" vertical="center" wrapText="1"/>
      <protection hidden="1"/>
    </xf>
    <xf numFmtId="0" fontId="23" fillId="13" borderId="0" xfId="0" applyFont="1" applyFill="1" applyAlignment="1" applyProtection="1">
      <alignment horizontal="left" vertical="center" wrapText="1"/>
      <protection hidden="1"/>
    </xf>
    <xf numFmtId="3" fontId="8" fillId="0" borderId="0" xfId="0" applyNumberFormat="1" applyFont="1" applyFill="1" applyBorder="1" applyAlignment="1" applyProtection="1">
      <alignment horizontal="left" vertical="center" wrapText="1"/>
      <protection hidden="1"/>
    </xf>
    <xf numFmtId="3" fontId="23" fillId="0" borderId="0" xfId="0" applyNumberFormat="1" applyFont="1" applyFill="1" applyBorder="1" applyAlignment="1" applyProtection="1">
      <alignment horizontal="left" vertical="center" wrapText="1"/>
      <protection hidden="1"/>
    </xf>
    <xf numFmtId="0" fontId="23" fillId="0" borderId="0" xfId="0" applyFont="1" applyBorder="1" applyAlignment="1" applyProtection="1">
      <alignment horizontal="left" vertical="center" wrapText="1"/>
      <protection hidden="1"/>
    </xf>
    <xf numFmtId="0" fontId="23" fillId="0" borderId="0" xfId="0" applyFont="1" applyAlignment="1" applyProtection="1">
      <alignment vertical="center"/>
      <protection hidden="1"/>
    </xf>
    <xf numFmtId="0" fontId="28" fillId="0" borderId="0" xfId="0" applyFont="1" applyAlignment="1" applyProtection="1">
      <alignment vertical="center"/>
      <protection hidden="1"/>
    </xf>
    <xf numFmtId="0" fontId="33" fillId="0" borderId="0" xfId="0" applyFont="1" applyAlignment="1" applyProtection="1">
      <alignment vertical="center"/>
      <protection hidden="1"/>
    </xf>
    <xf numFmtId="0" fontId="24" fillId="0" borderId="0" xfId="0" applyFont="1" applyAlignment="1" applyProtection="1">
      <alignment vertical="center"/>
      <protection locked="0" hidden="1"/>
    </xf>
    <xf numFmtId="0" fontId="24" fillId="0" borderId="0" xfId="0" applyFont="1" applyFill="1" applyAlignment="1" applyProtection="1">
      <alignment vertical="center"/>
      <protection locked="0" hidden="1"/>
    </xf>
    <xf numFmtId="0" fontId="23" fillId="0" borderId="0" xfId="0" applyFont="1" applyAlignment="1" applyProtection="1">
      <alignment vertical="center"/>
      <protection locked="0" hidden="1"/>
    </xf>
    <xf numFmtId="0" fontId="28" fillId="0" borderId="0" xfId="0" applyFont="1" applyAlignment="1" applyProtection="1">
      <alignment vertical="center"/>
      <protection locked="0" hidden="1"/>
    </xf>
    <xf numFmtId="0" fontId="33" fillId="0" borderId="0" xfId="0" applyFont="1" applyAlignment="1" applyProtection="1">
      <alignment vertical="center"/>
      <protection locked="0" hidden="1"/>
    </xf>
    <xf numFmtId="0" fontId="31" fillId="0" borderId="48" xfId="0" applyFont="1" applyFill="1" applyBorder="1" applyAlignment="1" applyProtection="1">
      <alignment horizontal="right" vertical="center"/>
      <protection locked="0" hidden="1"/>
    </xf>
    <xf numFmtId="3" fontId="23" fillId="0" borderId="23" xfId="0" applyNumberFormat="1" applyFont="1" applyFill="1" applyBorder="1" applyAlignment="1" applyProtection="1">
      <alignment horizontal="right" vertical="center"/>
      <protection locked="0" hidden="1"/>
    </xf>
    <xf numFmtId="0" fontId="23" fillId="0" borderId="9" xfId="0" applyFont="1" applyBorder="1" applyAlignment="1" applyProtection="1">
      <alignment vertical="center"/>
      <protection locked="0" hidden="1"/>
    </xf>
    <xf numFmtId="0" fontId="31" fillId="0" borderId="49" xfId="0" applyFont="1" applyFill="1" applyBorder="1" applyAlignment="1" applyProtection="1">
      <alignment horizontal="right" vertical="center"/>
      <protection locked="0" hidden="1"/>
    </xf>
    <xf numFmtId="164" fontId="23" fillId="0" borderId="0" xfId="0" applyNumberFormat="1" applyFont="1" applyAlignment="1" applyProtection="1">
      <alignment vertical="center"/>
      <protection locked="0" hidden="1"/>
    </xf>
    <xf numFmtId="49" fontId="16" fillId="0" borderId="13" xfId="0" applyNumberFormat="1" applyFont="1" applyFill="1" applyBorder="1" applyAlignment="1" applyProtection="1">
      <alignment horizontal="left" vertical="center" wrapText="1"/>
      <protection hidden="1"/>
    </xf>
    <xf numFmtId="49" fontId="31" fillId="0" borderId="14" xfId="0" applyNumberFormat="1" applyFont="1" applyFill="1" applyBorder="1" applyAlignment="1" applyProtection="1">
      <alignment horizontal="center" vertical="center" wrapText="1"/>
      <protection hidden="1"/>
    </xf>
    <xf numFmtId="49" fontId="31" fillId="0" borderId="15" xfId="0" applyNumberFormat="1" applyFont="1" applyFill="1" applyBorder="1" applyAlignment="1" applyProtection="1">
      <alignment horizontal="center" vertical="center" wrapText="1"/>
      <protection hidden="1"/>
    </xf>
    <xf numFmtId="49" fontId="33" fillId="0" borderId="16" xfId="0" applyNumberFormat="1" applyFont="1" applyFill="1" applyBorder="1" applyAlignment="1" applyProtection="1">
      <alignment horizontal="center" vertical="center" wrapText="1"/>
      <protection hidden="1"/>
    </xf>
    <xf numFmtId="49" fontId="33" fillId="0" borderId="11" xfId="0" applyNumberFormat="1" applyFont="1" applyFill="1" applyBorder="1" applyAlignment="1" applyProtection="1">
      <alignment horizontal="center" vertical="center" wrapText="1"/>
      <protection hidden="1"/>
    </xf>
    <xf numFmtId="49" fontId="33" fillId="0" borderId="12" xfId="0" applyNumberFormat="1" applyFont="1" applyFill="1" applyBorder="1" applyAlignment="1" applyProtection="1">
      <alignment horizontal="center" vertical="center" wrapText="1"/>
      <protection hidden="1"/>
    </xf>
    <xf numFmtId="0" fontId="33" fillId="0" borderId="17" xfId="0" applyFont="1" applyFill="1" applyBorder="1" applyAlignment="1" applyProtection="1">
      <alignment horizontal="center" vertical="center" wrapText="1"/>
      <protection hidden="1"/>
    </xf>
    <xf numFmtId="49" fontId="33" fillId="0" borderId="6" xfId="0" applyNumberFormat="1" applyFont="1" applyFill="1" applyBorder="1" applyAlignment="1" applyProtection="1">
      <alignment horizontal="center" vertical="center" wrapText="1"/>
      <protection hidden="1"/>
    </xf>
    <xf numFmtId="49" fontId="23" fillId="12" borderId="46" xfId="0" applyNumberFormat="1" applyFont="1" applyFill="1" applyBorder="1" applyAlignment="1" applyProtection="1">
      <alignment horizontal="left" vertical="center"/>
      <protection hidden="1"/>
    </xf>
    <xf numFmtId="49" fontId="8" fillId="12" borderId="43" xfId="0" applyNumberFormat="1" applyFont="1" applyFill="1" applyBorder="1" applyAlignment="1" applyProtection="1">
      <alignment horizontal="left" vertical="center"/>
      <protection hidden="1"/>
    </xf>
    <xf numFmtId="0" fontId="0" fillId="0" borderId="0" xfId="0" applyAlignment="1" applyProtection="1">
      <alignment horizontal="left" vertical="center" wrapText="1"/>
      <protection hidden="1"/>
    </xf>
    <xf numFmtId="0" fontId="0" fillId="0" borderId="0" xfId="0" applyAlignment="1" applyProtection="1">
      <alignment vertical="center" wrapText="1"/>
      <protection hidden="1"/>
    </xf>
    <xf numFmtId="0" fontId="21" fillId="0" borderId="0" xfId="0" applyFont="1" applyBorder="1" applyAlignment="1" applyProtection="1">
      <alignment vertical="center" wrapText="1"/>
      <protection hidden="1"/>
    </xf>
    <xf numFmtId="0" fontId="21" fillId="0" borderId="0" xfId="0" applyFont="1" applyAlignment="1" applyProtection="1">
      <alignment vertical="center" wrapText="1"/>
      <protection hidden="1"/>
    </xf>
    <xf numFmtId="1" fontId="16" fillId="0" borderId="1" xfId="0" applyNumberFormat="1" applyFont="1" applyFill="1" applyBorder="1" applyAlignment="1" applyProtection="1">
      <alignment horizontal="center" vertical="center"/>
      <protection hidden="1"/>
    </xf>
    <xf numFmtId="0" fontId="23" fillId="0" borderId="0" xfId="0" applyFont="1" applyFill="1" applyBorder="1" applyAlignment="1" applyProtection="1">
      <alignment vertical="center"/>
      <protection hidden="1"/>
    </xf>
    <xf numFmtId="1" fontId="16" fillId="0" borderId="1" xfId="0" applyNumberFormat="1" applyFont="1" applyFill="1" applyBorder="1" applyAlignment="1" applyProtection="1">
      <alignment horizontal="center" vertical="center" wrapText="1"/>
      <protection hidden="1"/>
    </xf>
    <xf numFmtId="0" fontId="23" fillId="0" borderId="1" xfId="0" applyFont="1" applyBorder="1" applyAlignment="1" applyProtection="1">
      <alignment vertical="center"/>
      <protection hidden="1"/>
    </xf>
    <xf numFmtId="0" fontId="0" fillId="0" borderId="0" xfId="0" applyBorder="1" applyAlignment="1" applyProtection="1">
      <alignment vertical="center" wrapText="1"/>
      <protection hidden="1"/>
    </xf>
    <xf numFmtId="0" fontId="0" fillId="0" borderId="0" xfId="0" applyFill="1" applyBorder="1" applyAlignment="1" applyProtection="1">
      <alignment vertical="center" wrapText="1"/>
      <protection hidden="1"/>
    </xf>
    <xf numFmtId="0" fontId="23" fillId="0" borderId="0" xfId="0" applyFont="1" applyBorder="1" applyAlignment="1" applyProtection="1">
      <alignment vertical="center"/>
      <protection hidden="1"/>
    </xf>
    <xf numFmtId="3" fontId="39" fillId="0" borderId="0" xfId="0" applyNumberFormat="1" applyFont="1" applyFill="1" applyBorder="1" applyAlignment="1" applyProtection="1">
      <alignment horizontal="left" vertical="center" wrapText="1"/>
      <protection hidden="1"/>
    </xf>
    <xf numFmtId="0" fontId="68" fillId="14" borderId="0" xfId="0" applyFont="1" applyFill="1" applyBorder="1" applyAlignment="1" applyProtection="1">
      <alignment horizontal="left" vertical="center"/>
      <protection hidden="1"/>
    </xf>
    <xf numFmtId="0" fontId="69" fillId="8" borderId="1" xfId="0" applyFont="1" applyFill="1" applyBorder="1" applyAlignment="1" applyProtection="1">
      <alignment horizontal="center" vertical="center" wrapText="1"/>
      <protection hidden="1"/>
    </xf>
    <xf numFmtId="0" fontId="69" fillId="6" borderId="1" xfId="0" applyFont="1" applyFill="1" applyBorder="1" applyAlignment="1" applyProtection="1">
      <alignment horizontal="center" vertical="center" wrapText="1"/>
      <protection hidden="1"/>
    </xf>
    <xf numFmtId="0" fontId="15" fillId="0" borderId="1" xfId="0" applyFont="1" applyBorder="1" applyAlignment="1" applyProtection="1">
      <alignment vertical="top" wrapText="1"/>
      <protection locked="0" hidden="1"/>
    </xf>
    <xf numFmtId="0" fontId="72" fillId="21" borderId="91" xfId="5" applyFont="1" applyFill="1" applyBorder="1" applyAlignment="1">
      <alignment horizontal="center" wrapText="1"/>
    </xf>
    <xf numFmtId="0" fontId="8" fillId="0" borderId="0" xfId="5"/>
    <xf numFmtId="0" fontId="72" fillId="21" borderId="7" xfId="5" applyFont="1" applyFill="1" applyBorder="1" applyAlignment="1">
      <alignment horizontal="center" wrapText="1"/>
    </xf>
    <xf numFmtId="0" fontId="73" fillId="0" borderId="7" xfId="5" applyFont="1" applyBorder="1" applyAlignment="1">
      <alignment horizontal="left" vertical="top" wrapText="1" indent="1"/>
    </xf>
    <xf numFmtId="9" fontId="8" fillId="0" borderId="0" xfId="5" applyNumberFormat="1"/>
    <xf numFmtId="0" fontId="8" fillId="0" borderId="7" xfId="5" applyBorder="1" applyAlignment="1">
      <alignment vertical="top" wrapText="1"/>
    </xf>
    <xf numFmtId="0" fontId="73" fillId="22" borderId="7" xfId="5" applyFont="1" applyFill="1" applyBorder="1" applyAlignment="1">
      <alignment horizontal="left" vertical="top" wrapText="1" indent="1"/>
    </xf>
    <xf numFmtId="0" fontId="8" fillId="22" borderId="7" xfId="5" applyFill="1" applyBorder="1" applyAlignment="1">
      <alignment vertical="top" wrapText="1"/>
    </xf>
    <xf numFmtId="0" fontId="73" fillId="22" borderId="5" xfId="5" applyFont="1" applyFill="1" applyBorder="1" applyAlignment="1">
      <alignment vertical="top" wrapText="1"/>
    </xf>
    <xf numFmtId="0" fontId="73" fillId="22" borderId="1" xfId="5" applyFont="1" applyFill="1" applyBorder="1" applyAlignment="1">
      <alignment vertical="top" wrapText="1"/>
    </xf>
    <xf numFmtId="0" fontId="73" fillId="22" borderId="7" xfId="5" applyFont="1" applyFill="1" applyBorder="1" applyAlignment="1">
      <alignment vertical="top" wrapText="1"/>
    </xf>
    <xf numFmtId="0" fontId="71" fillId="0" borderId="0" xfId="6" applyFont="1"/>
    <xf numFmtId="0" fontId="7" fillId="0" borderId="0" xfId="6"/>
    <xf numFmtId="0" fontId="8" fillId="0" borderId="0" xfId="0" applyFont="1"/>
    <xf numFmtId="0" fontId="7" fillId="0" borderId="0" xfId="6" applyAlignment="1">
      <alignment horizontal="left"/>
    </xf>
    <xf numFmtId="0" fontId="7" fillId="0" borderId="5" xfId="6" applyBorder="1"/>
    <xf numFmtId="0" fontId="7" fillId="0" borderId="19" xfId="6" applyBorder="1"/>
    <xf numFmtId="0" fontId="7" fillId="0" borderId="0" xfId="6" applyAlignment="1">
      <alignment horizontal="center"/>
    </xf>
    <xf numFmtId="1" fontId="78" fillId="2" borderId="78" xfId="0" applyNumberFormat="1" applyFont="1" applyFill="1" applyBorder="1" applyAlignment="1">
      <alignment horizontal="center"/>
    </xf>
    <xf numFmtId="1" fontId="78" fillId="2" borderId="18" xfId="0" applyNumberFormat="1" applyFont="1" applyFill="1" applyBorder="1" applyAlignment="1">
      <alignment horizontal="center"/>
    </xf>
    <xf numFmtId="0" fontId="8" fillId="0" borderId="0" xfId="0" applyFont="1" applyBorder="1" applyAlignment="1" applyProtection="1">
      <protection hidden="1"/>
    </xf>
    <xf numFmtId="0" fontId="75" fillId="0" borderId="1" xfId="0" applyFont="1" applyBorder="1" applyAlignment="1">
      <alignment horizontal="right" wrapText="1"/>
    </xf>
    <xf numFmtId="49" fontId="8" fillId="0" borderId="0" xfId="0" applyNumberFormat="1" applyFont="1" applyBorder="1" applyAlignment="1">
      <alignment horizontal="left" vertical="center" wrapText="1"/>
    </xf>
    <xf numFmtId="166" fontId="23" fillId="0" borderId="0" xfId="0" applyNumberFormat="1" applyFont="1" applyBorder="1" applyAlignment="1">
      <alignment vertical="center"/>
    </xf>
    <xf numFmtId="166" fontId="23" fillId="0" borderId="0" xfId="0" applyNumberFormat="1" applyFont="1" applyAlignment="1">
      <alignment vertical="center"/>
    </xf>
    <xf numFmtId="0" fontId="0" fillId="0" borderId="0" xfId="0" applyAlignment="1">
      <alignment horizontal="center" wrapText="1"/>
    </xf>
    <xf numFmtId="0" fontId="77" fillId="2" borderId="12" xfId="0" applyFont="1" applyFill="1" applyBorder="1" applyAlignment="1">
      <alignment horizontal="center" wrapText="1"/>
    </xf>
    <xf numFmtId="0" fontId="77" fillId="2" borderId="1" xfId="0" applyFont="1" applyFill="1" applyBorder="1" applyAlignment="1">
      <alignment horizontal="center" wrapText="1"/>
    </xf>
    <xf numFmtId="1" fontId="78" fillId="2" borderId="1" xfId="0" applyNumberFormat="1" applyFont="1" applyFill="1" applyBorder="1" applyAlignment="1">
      <alignment horizontal="center"/>
    </xf>
    <xf numFmtId="0" fontId="5" fillId="0" borderId="0" xfId="6" applyFont="1"/>
    <xf numFmtId="0" fontId="7" fillId="0" borderId="1" xfId="6" applyBorder="1"/>
    <xf numFmtId="3" fontId="7" fillId="0" borderId="0" xfId="6" applyNumberFormat="1"/>
    <xf numFmtId="9" fontId="78" fillId="2" borderId="1" xfId="2" applyFont="1" applyFill="1" applyBorder="1" applyAlignment="1">
      <alignment horizontal="center"/>
    </xf>
    <xf numFmtId="0" fontId="75" fillId="0" borderId="1" xfId="0" applyFont="1" applyFill="1" applyBorder="1" applyAlignment="1">
      <alignment horizontal="right" wrapText="1"/>
    </xf>
    <xf numFmtId="0" fontId="75" fillId="0" borderId="67" xfId="0" applyFont="1" applyBorder="1" applyAlignment="1">
      <alignment horizontal="right" wrapText="1"/>
    </xf>
    <xf numFmtId="3" fontId="0" fillId="0" borderId="67" xfId="0" applyNumberFormat="1" applyBorder="1" applyAlignment="1">
      <alignment horizontal="center"/>
    </xf>
    <xf numFmtId="9" fontId="8" fillId="4" borderId="127" xfId="2" applyFont="1" applyFill="1" applyBorder="1" applyAlignment="1">
      <alignment vertical="center" wrapText="1"/>
    </xf>
    <xf numFmtId="0" fontId="75" fillId="0" borderId="0" xfId="0" applyFont="1" applyFill="1" applyBorder="1" applyAlignment="1">
      <alignment horizontal="right"/>
    </xf>
    <xf numFmtId="0" fontId="0" fillId="0" borderId="0" xfId="0" applyAlignment="1">
      <alignment horizontal="right"/>
    </xf>
    <xf numFmtId="0" fontId="75" fillId="30" borderId="1" xfId="0" applyFont="1" applyFill="1" applyBorder="1" applyAlignment="1" applyProtection="1">
      <alignment wrapText="1"/>
      <protection locked="0"/>
    </xf>
    <xf numFmtId="3" fontId="61" fillId="29" borderId="1" xfId="0" applyNumberFormat="1" applyFont="1" applyFill="1" applyBorder="1" applyAlignment="1" applyProtection="1">
      <alignment horizontal="center"/>
      <protection locked="0"/>
    </xf>
    <xf numFmtId="167" fontId="61" fillId="29" borderId="1" xfId="0" applyNumberFormat="1" applyFont="1" applyFill="1" applyBorder="1" applyAlignment="1" applyProtection="1">
      <alignment horizontal="center"/>
      <protection locked="0"/>
    </xf>
    <xf numFmtId="167" fontId="0" fillId="0" borderId="1" xfId="0" applyNumberFormat="1" applyBorder="1" applyAlignment="1" applyProtection="1">
      <alignment horizontal="center"/>
      <protection hidden="1"/>
    </xf>
    <xf numFmtId="3" fontId="0" fillId="0" borderId="1" xfId="0" applyNumberFormat="1" applyBorder="1" applyAlignment="1" applyProtection="1">
      <alignment horizontal="center"/>
      <protection hidden="1"/>
    </xf>
    <xf numFmtId="9" fontId="0" fillId="0" borderId="1" xfId="0" applyNumberFormat="1" applyBorder="1" applyAlignment="1" applyProtection="1">
      <alignment horizontal="center"/>
      <protection hidden="1"/>
    </xf>
    <xf numFmtId="9" fontId="8" fillId="0" borderId="1" xfId="0" applyNumberFormat="1" applyFont="1" applyBorder="1" applyAlignment="1" applyProtection="1">
      <alignment horizontal="center"/>
      <protection hidden="1"/>
    </xf>
    <xf numFmtId="3" fontId="8" fillId="0" borderId="1" xfId="0" applyNumberFormat="1" applyFont="1" applyBorder="1" applyAlignment="1" applyProtection="1">
      <alignment horizontal="center"/>
      <protection hidden="1"/>
    </xf>
    <xf numFmtId="0" fontId="15" fillId="0" borderId="1" xfId="0" applyFont="1" applyFill="1" applyBorder="1" applyAlignment="1" applyProtection="1">
      <alignment horizontal="left" vertical="center"/>
      <protection hidden="1"/>
    </xf>
    <xf numFmtId="0" fontId="15" fillId="0" borderId="1" xfId="0" applyFont="1" applyFill="1" applyBorder="1" applyAlignment="1" applyProtection="1">
      <alignment horizontal="left" wrapText="1"/>
      <protection locked="0" hidden="1"/>
    </xf>
    <xf numFmtId="0" fontId="0" fillId="0" borderId="0" xfId="0" applyAlignment="1">
      <alignment vertical="center"/>
    </xf>
    <xf numFmtId="0" fontId="0" fillId="0" borderId="0" xfId="0" applyBorder="1" applyAlignment="1" applyProtection="1">
      <alignment horizontal="right"/>
      <protection hidden="1"/>
    </xf>
    <xf numFmtId="0" fontId="8" fillId="0" borderId="1" xfId="0" applyFont="1" applyBorder="1" applyAlignment="1" applyProtection="1">
      <alignment wrapText="1"/>
      <protection hidden="1"/>
    </xf>
    <xf numFmtId="0" fontId="84" fillId="0" borderId="0" xfId="0" applyFont="1" applyBorder="1" applyProtection="1">
      <protection hidden="1"/>
    </xf>
    <xf numFmtId="0" fontId="51" fillId="0" borderId="49" xfId="0" applyFont="1" applyBorder="1" applyAlignment="1" applyProtection="1">
      <alignment horizontal="center" vertical="center" wrapText="1"/>
      <protection hidden="1"/>
    </xf>
    <xf numFmtId="0" fontId="0" fillId="0" borderId="0" xfId="0" applyAlignment="1">
      <alignment horizontal="left"/>
    </xf>
    <xf numFmtId="0" fontId="4" fillId="0" borderId="0" xfId="6" applyFont="1"/>
    <xf numFmtId="3" fontId="61" fillId="29" borderId="7" xfId="0" applyNumberFormat="1" applyFont="1" applyFill="1" applyBorder="1" applyAlignment="1" applyProtection="1">
      <alignment horizontal="center"/>
      <protection locked="0"/>
    </xf>
    <xf numFmtId="167" fontId="61" fillId="29" borderId="7" xfId="0" applyNumberFormat="1" applyFont="1" applyFill="1" applyBorder="1" applyAlignment="1" applyProtection="1">
      <alignment horizontal="center"/>
      <protection locked="0"/>
    </xf>
    <xf numFmtId="9" fontId="78" fillId="2" borderId="1" xfId="2" applyFont="1" applyFill="1" applyBorder="1" applyAlignment="1">
      <alignment horizontal="left"/>
    </xf>
    <xf numFmtId="0" fontId="71" fillId="0" borderId="1" xfId="6" applyFont="1" applyBorder="1"/>
    <xf numFmtId="0" fontId="71" fillId="0" borderId="1" xfId="6" applyFont="1" applyBorder="1" applyAlignment="1">
      <alignment horizontal="center" wrapText="1"/>
    </xf>
    <xf numFmtId="0" fontId="3" fillId="0" borderId="1" xfId="6" applyFont="1" applyBorder="1"/>
    <xf numFmtId="0" fontId="7" fillId="0" borderId="1" xfId="6" applyBorder="1" applyAlignment="1">
      <alignment horizontal="center"/>
    </xf>
    <xf numFmtId="0" fontId="8" fillId="0" borderId="0" xfId="0" applyFont="1" applyAlignment="1">
      <alignment horizontal="right"/>
    </xf>
    <xf numFmtId="0" fontId="0" fillId="0" borderId="1" xfId="0" applyBorder="1" applyAlignment="1">
      <alignment horizontal="center"/>
    </xf>
    <xf numFmtId="0" fontId="0" fillId="0" borderId="1" xfId="0" applyFill="1" applyBorder="1" applyAlignment="1">
      <alignment horizontal="center"/>
    </xf>
    <xf numFmtId="0" fontId="8" fillId="0" borderId="77" xfId="0" applyFont="1" applyBorder="1" applyAlignment="1">
      <alignment horizontal="right"/>
    </xf>
    <xf numFmtId="0" fontId="8" fillId="0" borderId="3" xfId="0" applyFont="1" applyBorder="1" applyAlignment="1">
      <alignment horizontal="center" wrapText="1"/>
    </xf>
    <xf numFmtId="0" fontId="8" fillId="0" borderId="91" xfId="0" applyFont="1" applyBorder="1" applyAlignment="1">
      <alignment horizontal="center" wrapText="1"/>
    </xf>
    <xf numFmtId="0" fontId="8" fillId="0" borderId="82" xfId="0" applyFont="1" applyBorder="1" applyAlignment="1">
      <alignment horizontal="right"/>
    </xf>
    <xf numFmtId="0" fontId="0" fillId="0" borderId="7" xfId="0" applyBorder="1" applyAlignment="1">
      <alignment horizontal="center"/>
    </xf>
    <xf numFmtId="0" fontId="8" fillId="0" borderId="83" xfId="0" applyFont="1" applyBorder="1" applyAlignment="1">
      <alignment horizontal="right"/>
    </xf>
    <xf numFmtId="0" fontId="0" fillId="0" borderId="92" xfId="0" applyFill="1" applyBorder="1" applyAlignment="1">
      <alignment horizontal="center"/>
    </xf>
    <xf numFmtId="0" fontId="0" fillId="0" borderId="92" xfId="0" applyBorder="1" applyAlignment="1">
      <alignment horizontal="center"/>
    </xf>
    <xf numFmtId="0" fontId="0" fillId="0" borderId="93" xfId="0" applyBorder="1" applyAlignment="1">
      <alignment horizontal="center"/>
    </xf>
    <xf numFmtId="0" fontId="8" fillId="0" borderId="2" xfId="0" applyFont="1" applyBorder="1" applyAlignment="1">
      <alignment horizontal="center" wrapText="1"/>
    </xf>
    <xf numFmtId="0" fontId="0" fillId="0" borderId="5" xfId="0" applyBorder="1" applyAlignment="1">
      <alignment horizontal="center"/>
    </xf>
    <xf numFmtId="0" fontId="0" fillId="0" borderId="19" xfId="0" applyBorder="1" applyAlignment="1">
      <alignment horizontal="center"/>
    </xf>
    <xf numFmtId="0" fontId="8" fillId="0" borderId="1" xfId="0" applyFont="1" applyFill="1" applyBorder="1" applyAlignment="1">
      <alignment horizontal="center"/>
    </xf>
    <xf numFmtId="0" fontId="8" fillId="0" borderId="92" xfId="0" applyFont="1" applyFill="1" applyBorder="1" applyAlignment="1">
      <alignment horizontal="center"/>
    </xf>
    <xf numFmtId="1" fontId="7" fillId="0" borderId="1" xfId="6" applyNumberFormat="1" applyBorder="1" applyAlignment="1">
      <alignment horizontal="center"/>
    </xf>
    <xf numFmtId="1" fontId="0" fillId="0" borderId="66" xfId="0" applyNumberFormat="1" applyBorder="1"/>
    <xf numFmtId="0" fontId="8" fillId="0" borderId="0" xfId="0" applyFont="1" applyAlignment="1">
      <alignment wrapText="1"/>
    </xf>
    <xf numFmtId="0" fontId="0" fillId="0" borderId="0" xfId="0" applyAlignment="1">
      <alignment wrapText="1"/>
    </xf>
    <xf numFmtId="0" fontId="2" fillId="0" borderId="0" xfId="6" applyFont="1" applyAlignment="1">
      <alignment horizontal="center"/>
    </xf>
    <xf numFmtId="0" fontId="8" fillId="0" borderId="22" xfId="0" applyFont="1" applyBorder="1" applyAlignment="1">
      <alignment horizontal="center" wrapText="1"/>
    </xf>
    <xf numFmtId="0" fontId="0" fillId="0" borderId="18" xfId="0" applyBorder="1" applyAlignment="1">
      <alignment horizontal="center"/>
    </xf>
    <xf numFmtId="0" fontId="0" fillId="0" borderId="69" xfId="0" applyBorder="1" applyAlignment="1">
      <alignment horizontal="center"/>
    </xf>
    <xf numFmtId="1" fontId="0" fillId="0" borderId="5" xfId="0" applyNumberFormat="1" applyBorder="1"/>
    <xf numFmtId="1" fontId="0" fillId="0" borderId="68" xfId="0" applyNumberFormat="1" applyBorder="1"/>
    <xf numFmtId="1" fontId="0" fillId="0" borderId="19" xfId="0" applyNumberFormat="1" applyBorder="1"/>
    <xf numFmtId="1" fontId="0" fillId="0" borderId="71" xfId="0" applyNumberFormat="1" applyBorder="1"/>
    <xf numFmtId="1" fontId="0" fillId="0" borderId="70" xfId="0" applyNumberFormat="1" applyBorder="1"/>
    <xf numFmtId="1" fontId="7" fillId="0" borderId="5" xfId="6" applyNumberFormat="1" applyBorder="1" applyAlignment="1">
      <alignment horizontal="center"/>
    </xf>
    <xf numFmtId="1" fontId="7" fillId="0" borderId="19" xfId="6" applyNumberFormat="1" applyBorder="1" applyAlignment="1">
      <alignment horizontal="center"/>
    </xf>
    <xf numFmtId="1" fontId="7" fillId="0" borderId="92" xfId="6" applyNumberFormat="1" applyBorder="1" applyAlignment="1">
      <alignment horizontal="center"/>
    </xf>
    <xf numFmtId="1" fontId="7" fillId="0" borderId="93" xfId="6" applyNumberFormat="1" applyBorder="1" applyAlignment="1">
      <alignment horizontal="center"/>
    </xf>
    <xf numFmtId="0" fontId="5" fillId="0" borderId="3" xfId="6" applyFont="1" applyBorder="1" applyAlignment="1">
      <alignment horizontal="center"/>
    </xf>
    <xf numFmtId="0" fontId="3" fillId="0" borderId="3" xfId="6" applyFont="1" applyBorder="1" applyAlignment="1">
      <alignment horizontal="center" wrapText="1"/>
    </xf>
    <xf numFmtId="0" fontId="3" fillId="0" borderId="91" xfId="6" applyFont="1" applyBorder="1" applyAlignment="1">
      <alignment horizontal="center"/>
    </xf>
    <xf numFmtId="1" fontId="7" fillId="0" borderId="18" xfId="6" applyNumberFormat="1" applyBorder="1" applyAlignment="1">
      <alignment horizontal="center"/>
    </xf>
    <xf numFmtId="1" fontId="7" fillId="0" borderId="69" xfId="6" applyNumberFormat="1" applyBorder="1" applyAlignment="1">
      <alignment horizontal="center"/>
    </xf>
    <xf numFmtId="0" fontId="2" fillId="0" borderId="2" xfId="6" applyFont="1" applyBorder="1" applyAlignment="1">
      <alignment horizontal="center" wrapText="1"/>
    </xf>
    <xf numFmtId="0" fontId="2" fillId="0" borderId="91" xfId="6" applyFont="1" applyBorder="1" applyAlignment="1">
      <alignment horizontal="center" wrapText="1"/>
    </xf>
    <xf numFmtId="168" fontId="7" fillId="0" borderId="5" xfId="1" applyNumberFormat="1" applyFont="1" applyBorder="1" applyAlignment="1">
      <alignment horizontal="center"/>
    </xf>
    <xf numFmtId="168" fontId="7" fillId="0" borderId="7" xfId="1" applyNumberFormat="1" applyFont="1" applyBorder="1" applyAlignment="1">
      <alignment horizontal="center"/>
    </xf>
    <xf numFmtId="168" fontId="7" fillId="0" borderId="19" xfId="1" applyNumberFormat="1" applyFont="1" applyBorder="1" applyAlignment="1">
      <alignment horizontal="center"/>
    </xf>
    <xf numFmtId="168" fontId="7" fillId="0" borderId="93" xfId="1" applyNumberFormat="1" applyFont="1" applyBorder="1" applyAlignment="1">
      <alignment horizontal="center"/>
    </xf>
    <xf numFmtId="0" fontId="8" fillId="0" borderId="138" xfId="0" applyFont="1" applyBorder="1" applyAlignment="1">
      <alignment horizontal="center" wrapText="1"/>
    </xf>
    <xf numFmtId="1" fontId="7" fillId="0" borderId="139" xfId="6" applyNumberFormat="1" applyBorder="1" applyAlignment="1">
      <alignment horizontal="center"/>
    </xf>
    <xf numFmtId="168" fontId="7" fillId="0" borderId="140" xfId="1" applyNumberFormat="1" applyFont="1" applyBorder="1" applyAlignment="1">
      <alignment horizontal="center"/>
    </xf>
    <xf numFmtId="168" fontId="7" fillId="0" borderId="141" xfId="1" applyNumberFormat="1" applyFont="1" applyBorder="1" applyAlignment="1">
      <alignment horizontal="center"/>
    </xf>
    <xf numFmtId="0" fontId="3" fillId="0" borderId="16" xfId="6" applyFont="1" applyBorder="1" applyAlignment="1">
      <alignment horizontal="center"/>
    </xf>
    <xf numFmtId="0" fontId="5" fillId="0" borderId="11" xfId="6" applyFont="1" applyBorder="1" applyAlignment="1">
      <alignment horizontal="center"/>
    </xf>
    <xf numFmtId="0" fontId="3" fillId="0" borderId="11" xfId="6" applyFont="1" applyBorder="1" applyAlignment="1">
      <alignment horizontal="center" wrapText="1"/>
    </xf>
    <xf numFmtId="0" fontId="3" fillId="0" borderId="6" xfId="6" applyFont="1" applyBorder="1" applyAlignment="1">
      <alignment horizontal="center"/>
    </xf>
    <xf numFmtId="0" fontId="3" fillId="0" borderId="12" xfId="6" applyFont="1" applyBorder="1" applyAlignment="1">
      <alignment horizontal="center"/>
    </xf>
    <xf numFmtId="0" fontId="4" fillId="0" borderId="2" xfId="6" applyFont="1" applyBorder="1"/>
    <xf numFmtId="0" fontId="7" fillId="0" borderId="91" xfId="6" applyBorder="1"/>
    <xf numFmtId="9" fontId="7" fillId="0" borderId="5" xfId="2" applyFont="1" applyBorder="1"/>
    <xf numFmtId="0" fontId="7" fillId="0" borderId="7" xfId="6" applyBorder="1"/>
    <xf numFmtId="9" fontId="7" fillId="0" borderId="19" xfId="2" applyFont="1" applyBorder="1"/>
    <xf numFmtId="0" fontId="7" fillId="0" borderId="93" xfId="6" applyBorder="1"/>
    <xf numFmtId="1" fontId="78" fillId="0" borderId="18" xfId="0" applyNumberFormat="1" applyFont="1" applyFill="1" applyBorder="1" applyAlignment="1">
      <alignment horizontal="center"/>
    </xf>
    <xf numFmtId="9" fontId="78" fillId="0" borderId="1" xfId="2" applyFont="1" applyFill="1" applyBorder="1" applyAlignment="1">
      <alignment horizontal="center"/>
    </xf>
    <xf numFmtId="0" fontId="7" fillId="0" borderId="91" xfId="6" applyFill="1" applyBorder="1" applyAlignment="1">
      <alignment wrapText="1"/>
    </xf>
    <xf numFmtId="0" fontId="6" fillId="0" borderId="5" xfId="6" applyFont="1" applyBorder="1"/>
    <xf numFmtId="0" fontId="14" fillId="0" borderId="5" xfId="0" applyFont="1" applyFill="1" applyBorder="1" applyAlignment="1" applyProtection="1">
      <alignment horizontal="center" vertical="center" wrapText="1"/>
      <protection locked="0" hidden="1"/>
    </xf>
    <xf numFmtId="0" fontId="14" fillId="0" borderId="1" xfId="0" applyFont="1" applyFill="1" applyBorder="1" applyAlignment="1" applyProtection="1">
      <alignment horizontal="center" vertical="center" wrapText="1"/>
      <protection locked="0" hidden="1"/>
    </xf>
    <xf numFmtId="0" fontId="14" fillId="0" borderId="1" xfId="0" applyFont="1" applyFill="1" applyBorder="1" applyAlignment="1" applyProtection="1">
      <alignment vertical="center" wrapText="1"/>
      <protection locked="0" hidden="1"/>
    </xf>
    <xf numFmtId="0" fontId="13" fillId="0" borderId="1" xfId="0" applyFont="1" applyFill="1" applyBorder="1" applyAlignment="1" applyProtection="1">
      <alignment vertical="center" wrapText="1"/>
      <protection locked="0" hidden="1"/>
    </xf>
    <xf numFmtId="0" fontId="14" fillId="0" borderId="7" xfId="0" applyFont="1" applyFill="1" applyBorder="1" applyAlignment="1" applyProtection="1">
      <alignment horizontal="center" vertical="center" wrapText="1" shrinkToFit="1"/>
      <protection locked="0" hidden="1"/>
    </xf>
    <xf numFmtId="0" fontId="0" fillId="0" borderId="1" xfId="0" applyNumberFormat="1" applyBorder="1" applyAlignment="1" applyProtection="1">
      <alignment horizontal="center"/>
      <protection hidden="1"/>
    </xf>
    <xf numFmtId="0" fontId="8" fillId="15" borderId="0" xfId="0" applyFont="1" applyFill="1" applyProtection="1"/>
    <xf numFmtId="0" fontId="8" fillId="30" borderId="0" xfId="0" applyFont="1" applyFill="1" applyProtection="1"/>
    <xf numFmtId="0" fontId="0" fillId="0" borderId="0" xfId="0" applyProtection="1"/>
    <xf numFmtId="0" fontId="8" fillId="29" borderId="0" xfId="0" applyFont="1" applyFill="1" applyProtection="1"/>
    <xf numFmtId="0" fontId="8" fillId="0" borderId="0" xfId="0" applyFont="1" applyProtection="1"/>
    <xf numFmtId="0" fontId="74" fillId="15" borderId="0" xfId="0" applyFont="1" applyFill="1" applyBorder="1" applyAlignment="1" applyProtection="1">
      <alignment horizontal="right" wrapText="1"/>
    </xf>
    <xf numFmtId="0" fontId="61" fillId="15" borderId="0" xfId="0" applyFont="1" applyFill="1" applyBorder="1" applyAlignment="1" applyProtection="1">
      <alignment horizontal="center"/>
    </xf>
    <xf numFmtId="0" fontId="61" fillId="15" borderId="0" xfId="0" applyFont="1" applyFill="1" applyProtection="1"/>
    <xf numFmtId="0" fontId="61" fillId="0" borderId="1" xfId="0" applyFont="1" applyFill="1" applyBorder="1" applyAlignment="1" applyProtection="1">
      <alignment horizontal="center"/>
    </xf>
    <xf numFmtId="0" fontId="61" fillId="0" borderId="7" xfId="0" applyFont="1" applyFill="1" applyBorder="1" applyAlignment="1" applyProtection="1">
      <alignment horizontal="center"/>
    </xf>
    <xf numFmtId="0" fontId="74" fillId="0" borderId="5" xfId="0" applyFont="1" applyBorder="1" applyAlignment="1" applyProtection="1">
      <alignment horizontal="right" wrapText="1"/>
    </xf>
    <xf numFmtId="0" fontId="75" fillId="0" borderId="1" xfId="0" applyFont="1" applyFill="1" applyBorder="1" applyAlignment="1" applyProtection="1">
      <alignment wrapText="1"/>
    </xf>
    <xf numFmtId="0" fontId="88" fillId="0" borderId="0" xfId="0" applyFont="1" applyProtection="1"/>
    <xf numFmtId="3" fontId="61" fillId="0" borderId="1" xfId="4" applyNumberFormat="1" applyFont="1" applyFill="1" applyBorder="1" applyAlignment="1" applyProtection="1">
      <alignment horizontal="center"/>
    </xf>
    <xf numFmtId="3" fontId="61" fillId="0" borderId="7" xfId="4" applyNumberFormat="1" applyFont="1" applyFill="1" applyBorder="1" applyAlignment="1" applyProtection="1">
      <alignment horizontal="center"/>
    </xf>
    <xf numFmtId="3" fontId="8" fillId="0" borderId="0" xfId="0" applyNumberFormat="1" applyFont="1" applyProtection="1"/>
    <xf numFmtId="3" fontId="61" fillId="0" borderId="1" xfId="0" applyNumberFormat="1" applyFont="1" applyFill="1" applyBorder="1" applyAlignment="1" applyProtection="1">
      <alignment horizontal="center"/>
    </xf>
    <xf numFmtId="3" fontId="61" fillId="0" borderId="7" xfId="0" applyNumberFormat="1" applyFont="1" applyFill="1" applyBorder="1" applyAlignment="1" applyProtection="1">
      <alignment horizontal="center"/>
    </xf>
    <xf numFmtId="0" fontId="74" fillId="15" borderId="27" xfId="0" applyFont="1" applyFill="1" applyBorder="1" applyAlignment="1" applyProtection="1">
      <alignment wrapText="1"/>
    </xf>
    <xf numFmtId="0" fontId="61" fillId="15" borderId="27" xfId="0" applyFont="1" applyFill="1" applyBorder="1" applyAlignment="1" applyProtection="1">
      <alignment horizontal="center"/>
    </xf>
    <xf numFmtId="3" fontId="61" fillId="0" borderId="1" xfId="0" applyNumberFormat="1" applyFont="1" applyFill="1" applyBorder="1" applyAlignment="1" applyProtection="1">
      <alignment horizontal="center" vertical="center"/>
    </xf>
    <xf numFmtId="3" fontId="61" fillId="0" borderId="7" xfId="0" applyNumberFormat="1" applyFont="1" applyFill="1" applyBorder="1" applyAlignment="1" applyProtection="1">
      <alignment horizontal="center" vertical="center"/>
    </xf>
    <xf numFmtId="0" fontId="74" fillId="15" borderId="0" xfId="0" applyFont="1" applyFill="1" applyBorder="1" applyAlignment="1" applyProtection="1">
      <alignment horizontal="left" wrapText="1"/>
    </xf>
    <xf numFmtId="0" fontId="61" fillId="15" borderId="0" xfId="0" applyFont="1" applyFill="1" applyBorder="1" applyAlignment="1" applyProtection="1">
      <alignment horizontal="center" vertical="center"/>
    </xf>
    <xf numFmtId="167" fontId="61" fillId="0" borderId="3" xfId="4" applyNumberFormat="1" applyFont="1" applyFill="1" applyBorder="1" applyAlignment="1" applyProtection="1">
      <alignment horizontal="center"/>
    </xf>
    <xf numFmtId="9" fontId="61" fillId="0" borderId="91" xfId="2" applyFont="1" applyFill="1" applyBorder="1" applyAlignment="1" applyProtection="1">
      <alignment horizontal="center"/>
    </xf>
    <xf numFmtId="167" fontId="61" fillId="0" borderId="1" xfId="4" applyNumberFormat="1" applyFont="1" applyFill="1" applyBorder="1" applyAlignment="1" applyProtection="1">
      <alignment horizontal="center"/>
    </xf>
    <xf numFmtId="9" fontId="61" fillId="0" borderId="7" xfId="2" applyFont="1" applyFill="1" applyBorder="1" applyAlignment="1" applyProtection="1">
      <alignment horizontal="center"/>
    </xf>
    <xf numFmtId="167" fontId="61" fillId="0" borderId="92" xfId="4" applyNumberFormat="1" applyFont="1" applyFill="1" applyBorder="1" applyAlignment="1" applyProtection="1">
      <alignment horizontal="center"/>
    </xf>
    <xf numFmtId="9" fontId="61" fillId="0" borderId="93" xfId="2" applyFont="1" applyFill="1" applyBorder="1" applyAlignment="1" applyProtection="1">
      <alignment horizontal="center"/>
    </xf>
    <xf numFmtId="0" fontId="8" fillId="15" borderId="134" xfId="0" applyFont="1" applyFill="1" applyBorder="1" applyAlignment="1" applyProtection="1">
      <alignment horizontal="center"/>
    </xf>
    <xf numFmtId="165" fontId="8" fillId="15" borderId="135" xfId="2" applyNumberFormat="1" applyFont="1" applyFill="1" applyBorder="1" applyAlignment="1" applyProtection="1">
      <alignment horizontal="center" wrapText="1"/>
    </xf>
    <xf numFmtId="167" fontId="8" fillId="0" borderId="135" xfId="0" applyNumberFormat="1" applyFont="1" applyFill="1" applyBorder="1" applyAlignment="1" applyProtection="1">
      <alignment horizontal="center" wrapText="1"/>
    </xf>
    <xf numFmtId="167" fontId="8" fillId="0" borderId="136" xfId="0" applyNumberFormat="1" applyFont="1" applyFill="1" applyBorder="1" applyAlignment="1" applyProtection="1">
      <alignment horizontal="center" wrapText="1"/>
    </xf>
    <xf numFmtId="0" fontId="65" fillId="15" borderId="16" xfId="0" applyFont="1" applyFill="1" applyBorder="1" applyProtection="1"/>
    <xf numFmtId="0" fontId="65" fillId="15" borderId="11" xfId="0" applyFont="1" applyFill="1" applyBorder="1" applyAlignment="1" applyProtection="1">
      <alignment horizontal="center"/>
    </xf>
    <xf numFmtId="168" fontId="65" fillId="0" borderId="11" xfId="1" applyNumberFormat="1" applyFont="1" applyBorder="1" applyAlignment="1" applyProtection="1"/>
    <xf numFmtId="168" fontId="65" fillId="0" borderId="137" xfId="1" applyNumberFormat="1" applyFont="1" applyBorder="1" applyAlignment="1" applyProtection="1"/>
    <xf numFmtId="0" fontId="65" fillId="15" borderId="5" xfId="0" applyFont="1" applyFill="1" applyBorder="1" applyProtection="1"/>
    <xf numFmtId="168" fontId="65" fillId="0" borderId="11" xfId="1" applyNumberFormat="1" applyFont="1" applyBorder="1" applyAlignment="1" applyProtection="1">
      <alignment horizontal="center"/>
    </xf>
    <xf numFmtId="168" fontId="65" fillId="0" borderId="7" xfId="1" applyNumberFormat="1" applyFont="1" applyBorder="1" applyAlignment="1" applyProtection="1">
      <alignment horizontal="center"/>
    </xf>
    <xf numFmtId="0" fontId="65" fillId="15" borderId="19" xfId="0" applyFont="1" applyFill="1" applyBorder="1" applyProtection="1"/>
    <xf numFmtId="0" fontId="65" fillId="15" borderId="132" xfId="0" applyFont="1" applyFill="1" applyBorder="1" applyAlignment="1" applyProtection="1">
      <alignment horizontal="center"/>
    </xf>
    <xf numFmtId="168" fontId="65" fillId="0" borderId="132" xfId="1" applyNumberFormat="1" applyFont="1" applyBorder="1" applyAlignment="1" applyProtection="1">
      <alignment horizontal="center"/>
    </xf>
    <xf numFmtId="168" fontId="65" fillId="0" borderId="93" xfId="1" applyNumberFormat="1" applyFont="1" applyBorder="1" applyAlignment="1" applyProtection="1">
      <alignment horizontal="center"/>
    </xf>
    <xf numFmtId="0" fontId="8" fillId="15" borderId="0" xfId="0" applyFont="1" applyFill="1" applyAlignment="1" applyProtection="1"/>
    <xf numFmtId="0" fontId="8" fillId="15" borderId="0" xfId="0" applyFont="1" applyFill="1" applyAlignment="1" applyProtection="1">
      <alignment horizontal="right" vertical="top"/>
    </xf>
    <xf numFmtId="0" fontId="8" fillId="15" borderId="0" xfId="0" applyFont="1" applyFill="1" applyAlignment="1" applyProtection="1">
      <alignment vertical="top"/>
    </xf>
    <xf numFmtId="0" fontId="0" fillId="0" borderId="0" xfId="0" applyAlignment="1" applyProtection="1">
      <alignment vertical="top"/>
    </xf>
    <xf numFmtId="0" fontId="0" fillId="0" borderId="0" xfId="0" applyAlignment="1" applyProtection="1">
      <alignment horizontal="left"/>
    </xf>
    <xf numFmtId="0" fontId="0" fillId="0" borderId="0" xfId="0" applyAlignment="1" applyProtection="1">
      <alignment vertical="center"/>
    </xf>
    <xf numFmtId="0" fontId="3" fillId="0" borderId="2" xfId="6" applyFont="1" applyBorder="1" applyAlignment="1">
      <alignment horizontal="center"/>
    </xf>
    <xf numFmtId="0" fontId="1" fillId="0" borderId="2" xfId="6" applyFont="1" applyFill="1" applyBorder="1" applyAlignment="1"/>
    <xf numFmtId="0" fontId="1" fillId="0" borderId="7" xfId="6" applyFont="1" applyBorder="1"/>
    <xf numFmtId="0" fontId="52" fillId="27" borderId="18" xfId="0" applyFont="1" applyFill="1" applyBorder="1" applyAlignment="1">
      <alignment horizontal="center" wrapText="1"/>
    </xf>
    <xf numFmtId="0" fontId="52" fillId="27" borderId="66" xfId="0" applyFont="1" applyFill="1" applyBorder="1" applyAlignment="1">
      <alignment horizontal="center" wrapText="1"/>
    </xf>
    <xf numFmtId="0" fontId="79" fillId="28" borderId="18" xfId="0" applyFont="1" applyFill="1" applyBorder="1" applyAlignment="1">
      <alignment horizontal="center" wrapText="1"/>
    </xf>
    <xf numFmtId="0" fontId="79" fillId="28" borderId="66" xfId="0" applyFont="1" applyFill="1" applyBorder="1" applyAlignment="1">
      <alignment horizontal="center" wrapText="1"/>
    </xf>
    <xf numFmtId="0" fontId="52" fillId="24" borderId="18" xfId="0" applyFont="1" applyFill="1" applyBorder="1" applyAlignment="1">
      <alignment horizontal="center" wrapText="1"/>
    </xf>
    <xf numFmtId="0" fontId="52" fillId="24" borderId="66" xfId="0" applyFont="1" applyFill="1" applyBorder="1" applyAlignment="1">
      <alignment horizontal="center" wrapText="1"/>
    </xf>
    <xf numFmtId="0" fontId="79" fillId="26" borderId="18" xfId="0" applyFont="1" applyFill="1" applyBorder="1" applyAlignment="1">
      <alignment horizontal="center" wrapText="1"/>
    </xf>
    <xf numFmtId="0" fontId="79" fillId="26" borderId="66" xfId="0" applyFont="1" applyFill="1" applyBorder="1" applyAlignment="1">
      <alignment horizontal="center" wrapText="1"/>
    </xf>
    <xf numFmtId="0" fontId="75" fillId="0" borderId="5" xfId="0" applyFont="1" applyBorder="1" applyAlignment="1" applyProtection="1">
      <alignment horizontal="right" wrapText="1"/>
    </xf>
    <xf numFmtId="0" fontId="75" fillId="0" borderId="1" xfId="0" applyFont="1" applyBorder="1" applyAlignment="1" applyProtection="1">
      <alignment horizontal="right" wrapText="1"/>
    </xf>
    <xf numFmtId="167" fontId="61" fillId="0" borderId="1" xfId="4" applyNumberFormat="1" applyFont="1" applyFill="1" applyBorder="1" applyAlignment="1" applyProtection="1">
      <alignment horizontal="center"/>
    </xf>
    <xf numFmtId="167" fontId="61" fillId="0" borderId="7" xfId="4" applyNumberFormat="1" applyFont="1" applyFill="1" applyBorder="1" applyAlignment="1" applyProtection="1">
      <alignment horizontal="center"/>
    </xf>
    <xf numFmtId="3" fontId="61" fillId="0" borderId="1" xfId="4" applyNumberFormat="1" applyFont="1" applyFill="1" applyBorder="1" applyAlignment="1" applyProtection="1">
      <alignment horizontal="center"/>
    </xf>
    <xf numFmtId="3" fontId="61" fillId="0" borderId="7" xfId="4" applyNumberFormat="1" applyFont="1" applyFill="1" applyBorder="1" applyAlignment="1" applyProtection="1">
      <alignment horizontal="center"/>
    </xf>
    <xf numFmtId="0" fontId="52" fillId="25" borderId="0" xfId="0" applyFont="1" applyFill="1" applyAlignment="1" applyProtection="1">
      <alignment horizontal="left"/>
    </xf>
    <xf numFmtId="9" fontId="61" fillId="0" borderId="1" xfId="2" applyFont="1" applyFill="1" applyBorder="1" applyAlignment="1" applyProtection="1">
      <alignment horizontal="center"/>
    </xf>
    <xf numFmtId="9" fontId="61" fillId="0" borderId="7" xfId="2" applyFont="1" applyFill="1" applyBorder="1" applyAlignment="1" applyProtection="1">
      <alignment horizontal="center"/>
    </xf>
    <xf numFmtId="9" fontId="61" fillId="0" borderId="3" xfId="0" applyNumberFormat="1" applyFont="1" applyFill="1" applyBorder="1" applyAlignment="1" applyProtection="1">
      <alignment horizontal="center"/>
    </xf>
    <xf numFmtId="9" fontId="61" fillId="0" borderId="91" xfId="0" applyNumberFormat="1" applyFont="1" applyFill="1" applyBorder="1" applyAlignment="1" applyProtection="1">
      <alignment horizontal="center"/>
    </xf>
    <xf numFmtId="3" fontId="61" fillId="0" borderId="1" xfId="0" applyNumberFormat="1" applyFont="1" applyFill="1" applyBorder="1" applyAlignment="1" applyProtection="1">
      <alignment horizontal="center"/>
    </xf>
    <xf numFmtId="3" fontId="61" fillId="0" borderId="7" xfId="0" applyNumberFormat="1" applyFont="1" applyFill="1" applyBorder="1" applyAlignment="1" applyProtection="1">
      <alignment horizontal="center"/>
    </xf>
    <xf numFmtId="3" fontId="61" fillId="29" borderId="1" xfId="0" applyNumberFormat="1" applyFont="1" applyFill="1" applyBorder="1" applyAlignment="1" applyProtection="1">
      <alignment horizontal="center" vertical="center"/>
      <protection locked="0"/>
    </xf>
    <xf numFmtId="3" fontId="61" fillId="29" borderId="7" xfId="0" applyNumberFormat="1" applyFont="1" applyFill="1" applyBorder="1" applyAlignment="1" applyProtection="1">
      <alignment horizontal="center" vertical="center"/>
      <protection locked="0"/>
    </xf>
    <xf numFmtId="0" fontId="61" fillId="30" borderId="92" xfId="0" applyFont="1" applyFill="1" applyBorder="1" applyAlignment="1" applyProtection="1">
      <alignment horizontal="center"/>
      <protection locked="0"/>
    </xf>
    <xf numFmtId="0" fontId="61" fillId="30" borderId="93" xfId="0" applyFont="1" applyFill="1" applyBorder="1" applyAlignment="1" applyProtection="1">
      <alignment horizontal="center"/>
      <protection locked="0"/>
    </xf>
    <xf numFmtId="0" fontId="74" fillId="0" borderId="2" xfId="0" applyFont="1" applyFill="1" applyBorder="1" applyAlignment="1" applyProtection="1">
      <alignment horizontal="right" wrapText="1"/>
    </xf>
    <xf numFmtId="0" fontId="74" fillId="0" borderId="3" xfId="0" applyFont="1" applyFill="1" applyBorder="1" applyAlignment="1" applyProtection="1">
      <alignment horizontal="right" wrapText="1"/>
    </xf>
    <xf numFmtId="0" fontId="61" fillId="0" borderId="1" xfId="0" applyNumberFormat="1" applyFont="1" applyFill="1" applyBorder="1" applyAlignment="1" applyProtection="1">
      <alignment horizontal="center"/>
    </xf>
    <xf numFmtId="0" fontId="61" fillId="0" borderId="7" xfId="0" applyNumberFormat="1" applyFont="1" applyFill="1" applyBorder="1" applyAlignment="1" applyProtection="1">
      <alignment horizontal="center"/>
    </xf>
    <xf numFmtId="0" fontId="74" fillId="0" borderId="5" xfId="0" applyFont="1" applyFill="1" applyBorder="1" applyAlignment="1" applyProtection="1">
      <alignment horizontal="right" wrapText="1"/>
    </xf>
    <xf numFmtId="0" fontId="74" fillId="0" borderId="1" xfId="0" applyFont="1" applyFill="1" applyBorder="1" applyAlignment="1" applyProtection="1">
      <alignment horizontal="right" wrapText="1"/>
    </xf>
    <xf numFmtId="0" fontId="75" fillId="0" borderId="5" xfId="0" applyFont="1" applyFill="1" applyBorder="1" applyAlignment="1" applyProtection="1">
      <alignment horizontal="right" wrapText="1"/>
    </xf>
    <xf numFmtId="0" fontId="75" fillId="0" borderId="1" xfId="0" applyFont="1" applyFill="1" applyBorder="1" applyAlignment="1" applyProtection="1">
      <alignment horizontal="right" wrapText="1"/>
    </xf>
    <xf numFmtId="0" fontId="61" fillId="30" borderId="3" xfId="0" applyFont="1" applyFill="1" applyBorder="1" applyAlignment="1" applyProtection="1">
      <alignment horizontal="center" vertical="center"/>
      <protection locked="0"/>
    </xf>
    <xf numFmtId="0" fontId="61" fillId="30" borderId="91" xfId="0" applyFont="1" applyFill="1" applyBorder="1" applyAlignment="1" applyProtection="1">
      <alignment horizontal="center" vertical="center"/>
      <protection locked="0"/>
    </xf>
    <xf numFmtId="0" fontId="52" fillId="23" borderId="0" xfId="0" applyFont="1" applyFill="1" applyAlignment="1" applyProtection="1">
      <alignment horizontal="left"/>
    </xf>
    <xf numFmtId="0" fontId="52" fillId="23" borderId="21" xfId="0" applyFont="1" applyFill="1" applyBorder="1" applyAlignment="1" applyProtection="1">
      <alignment horizontal="left"/>
    </xf>
    <xf numFmtId="0" fontId="74" fillId="0" borderId="2" xfId="0" applyFont="1" applyBorder="1" applyAlignment="1" applyProtection="1">
      <alignment horizontal="right" wrapText="1"/>
    </xf>
    <xf numFmtId="0" fontId="74" fillId="0" borderId="3" xfId="0" applyFont="1" applyBorder="1" applyAlignment="1" applyProtection="1">
      <alignment horizontal="right" wrapText="1"/>
    </xf>
    <xf numFmtId="167" fontId="8" fillId="0" borderId="22" xfId="0" applyNumberFormat="1" applyFont="1" applyFill="1" applyBorder="1" applyAlignment="1" applyProtection="1">
      <alignment horizontal="center"/>
    </xf>
    <xf numFmtId="167" fontId="8" fillId="0" borderId="72" xfId="0" applyNumberFormat="1" applyFont="1" applyFill="1" applyBorder="1" applyAlignment="1" applyProtection="1">
      <alignment horizontal="center"/>
    </xf>
    <xf numFmtId="0" fontId="74" fillId="0" borderId="5" xfId="0" applyFont="1" applyBorder="1" applyAlignment="1" applyProtection="1">
      <alignment horizontal="right" wrapText="1"/>
    </xf>
    <xf numFmtId="0" fontId="74" fillId="0" borderId="1" xfId="0" applyFont="1" applyBorder="1" applyAlignment="1" applyProtection="1">
      <alignment horizontal="right" wrapText="1"/>
    </xf>
    <xf numFmtId="0" fontId="74" fillId="0" borderId="19" xfId="0" applyFont="1" applyBorder="1" applyAlignment="1" applyProtection="1">
      <alignment horizontal="right" wrapText="1"/>
    </xf>
    <xf numFmtId="0" fontId="74" fillId="0" borderId="92" xfId="0" applyFont="1" applyBorder="1" applyAlignment="1" applyProtection="1">
      <alignment horizontal="right" wrapText="1"/>
    </xf>
    <xf numFmtId="3" fontId="61" fillId="0" borderId="92" xfId="0" applyNumberFormat="1" applyFont="1" applyFill="1" applyBorder="1" applyAlignment="1" applyProtection="1">
      <alignment horizontal="center"/>
    </xf>
    <xf numFmtId="0" fontId="61" fillId="0" borderId="93" xfId="0" applyFont="1" applyFill="1" applyBorder="1" applyAlignment="1" applyProtection="1">
      <alignment horizontal="center"/>
    </xf>
    <xf numFmtId="0" fontId="61" fillId="0" borderId="1" xfId="0" applyFont="1" applyFill="1" applyBorder="1" applyAlignment="1" applyProtection="1">
      <alignment horizontal="center"/>
    </xf>
    <xf numFmtId="0" fontId="61" fillId="0" borderId="7" xfId="0" applyFont="1" applyFill="1" applyBorder="1" applyAlignment="1" applyProtection="1">
      <alignment horizontal="center"/>
    </xf>
    <xf numFmtId="9" fontId="61" fillId="0" borderId="1" xfId="2" applyFont="1" applyBorder="1" applyAlignment="1" applyProtection="1">
      <alignment horizontal="center"/>
    </xf>
    <xf numFmtId="9" fontId="61" fillId="0" borderId="7" xfId="2" applyFont="1" applyBorder="1" applyAlignment="1" applyProtection="1">
      <alignment horizontal="center"/>
    </xf>
    <xf numFmtId="0" fontId="74" fillId="0" borderId="19" xfId="0" applyFont="1" applyFill="1" applyBorder="1" applyAlignment="1" applyProtection="1">
      <alignment horizontal="right" wrapText="1"/>
    </xf>
    <xf numFmtId="0" fontId="74" fillId="0" borderId="92" xfId="0" applyFont="1" applyFill="1" applyBorder="1" applyAlignment="1" applyProtection="1">
      <alignment horizontal="right" wrapText="1"/>
    </xf>
    <xf numFmtId="0" fontId="75" fillId="0" borderId="2" xfId="0" applyFont="1" applyBorder="1" applyAlignment="1" applyProtection="1">
      <alignment horizontal="right" wrapText="1"/>
    </xf>
    <xf numFmtId="0" fontId="75" fillId="0" borderId="3" xfId="0" applyFont="1" applyBorder="1" applyAlignment="1" applyProtection="1">
      <alignment horizontal="right" wrapText="1"/>
    </xf>
    <xf numFmtId="0" fontId="61" fillId="0" borderId="3" xfId="0" applyFont="1" applyFill="1" applyBorder="1" applyAlignment="1" applyProtection="1">
      <alignment horizontal="center"/>
    </xf>
    <xf numFmtId="0" fontId="61" fillId="0" borderId="91" xfId="0" applyFont="1" applyFill="1" applyBorder="1" applyAlignment="1" applyProtection="1">
      <alignment horizontal="center"/>
    </xf>
    <xf numFmtId="3" fontId="61" fillId="0" borderId="93" xfId="0" applyNumberFormat="1" applyFont="1" applyFill="1" applyBorder="1" applyAlignment="1" applyProtection="1">
      <alignment horizontal="center"/>
    </xf>
    <xf numFmtId="0" fontId="87" fillId="0" borderId="5" xfId="0" applyFont="1" applyBorder="1" applyAlignment="1" applyProtection="1">
      <alignment horizontal="center"/>
    </xf>
    <xf numFmtId="0" fontId="87" fillId="0" borderId="1" xfId="0" applyFont="1" applyBorder="1" applyAlignment="1" applyProtection="1">
      <alignment horizontal="center"/>
    </xf>
    <xf numFmtId="0" fontId="87" fillId="0" borderId="7" xfId="0" applyFont="1" applyBorder="1" applyAlignment="1" applyProtection="1">
      <alignment horizontal="center"/>
    </xf>
    <xf numFmtId="0" fontId="8" fillId="15" borderId="0" xfId="0" applyFont="1" applyFill="1" applyAlignment="1">
      <alignment horizontal="left" wrapText="1"/>
    </xf>
    <xf numFmtId="0" fontId="8" fillId="15" borderId="0" xfId="0" applyFont="1" applyFill="1" applyAlignment="1" applyProtection="1">
      <alignment vertical="top" wrapText="1"/>
    </xf>
    <xf numFmtId="0" fontId="8" fillId="15" borderId="0" xfId="0" applyFont="1" applyFill="1" applyAlignment="1" applyProtection="1">
      <alignment horizontal="left" vertical="top" wrapText="1"/>
    </xf>
    <xf numFmtId="167" fontId="61" fillId="0" borderId="1" xfId="2" applyNumberFormat="1" applyFont="1" applyFill="1" applyBorder="1" applyAlignment="1" applyProtection="1">
      <alignment horizontal="center"/>
    </xf>
    <xf numFmtId="167" fontId="61" fillId="0" borderId="7" xfId="2" applyNumberFormat="1" applyFont="1" applyFill="1" applyBorder="1" applyAlignment="1" applyProtection="1">
      <alignment horizontal="center"/>
    </xf>
    <xf numFmtId="0" fontId="52" fillId="20" borderId="0" xfId="0" applyFont="1" applyFill="1" applyAlignment="1" applyProtection="1">
      <alignment horizontal="left"/>
    </xf>
    <xf numFmtId="0" fontId="52" fillId="24" borderId="0" xfId="0" applyFont="1" applyFill="1" applyAlignment="1" applyProtection="1">
      <alignment horizontal="left"/>
    </xf>
    <xf numFmtId="0" fontId="8" fillId="15" borderId="131" xfId="0" applyFont="1" applyFill="1" applyBorder="1" applyAlignment="1" applyProtection="1">
      <alignment horizontal="center"/>
    </xf>
    <xf numFmtId="0" fontId="8" fillId="15" borderId="133" xfId="0" applyFont="1" applyFill="1" applyBorder="1" applyAlignment="1" applyProtection="1">
      <alignment horizontal="center"/>
    </xf>
    <xf numFmtId="0" fontId="15" fillId="0" borderId="91" xfId="0" applyFont="1" applyBorder="1" applyAlignment="1" applyProtection="1">
      <alignment horizontal="center" vertical="center" wrapText="1"/>
      <protection hidden="1"/>
    </xf>
    <xf numFmtId="0" fontId="15" fillId="0" borderId="7" xfId="0" applyFont="1" applyBorder="1" applyAlignment="1" applyProtection="1">
      <alignment horizontal="center" vertical="center" wrapText="1"/>
      <protection hidden="1"/>
    </xf>
    <xf numFmtId="0" fontId="15" fillId="0" borderId="2" xfId="0" applyFont="1" applyBorder="1" applyAlignment="1" applyProtection="1">
      <alignment horizontal="center" vertical="center" wrapText="1"/>
      <protection hidden="1"/>
    </xf>
    <xf numFmtId="0" fontId="15" fillId="0" borderId="5" xfId="0" applyFont="1" applyBorder="1" applyAlignment="1" applyProtection="1">
      <alignment horizontal="center" vertical="center" wrapText="1"/>
      <protection hidden="1"/>
    </xf>
    <xf numFmtId="0" fontId="50" fillId="2" borderId="83" xfId="0" applyFont="1" applyFill="1" applyBorder="1" applyAlignment="1" applyProtection="1">
      <alignment horizontal="center"/>
      <protection hidden="1"/>
    </xf>
    <xf numFmtId="0" fontId="50" fillId="2" borderId="49" xfId="0" applyFont="1" applyFill="1" applyBorder="1" applyAlignment="1" applyProtection="1">
      <alignment horizontal="center"/>
      <protection hidden="1"/>
    </xf>
    <xf numFmtId="0" fontId="50" fillId="2" borderId="9" xfId="0" applyFont="1" applyFill="1" applyBorder="1" applyAlignment="1" applyProtection="1">
      <alignment horizontal="center"/>
      <protection hidden="1"/>
    </xf>
    <xf numFmtId="0" fontId="8" fillId="0" borderId="0" xfId="0" applyFont="1" applyBorder="1" applyAlignment="1" applyProtection="1">
      <alignment horizontal="right" vertical="center" wrapText="1"/>
      <protection hidden="1"/>
    </xf>
    <xf numFmtId="0" fontId="15" fillId="0" borderId="10" xfId="0" applyFont="1" applyFill="1" applyBorder="1" applyAlignment="1" applyProtection="1">
      <alignment horizontal="left" vertical="center"/>
      <protection locked="0" hidden="1"/>
    </xf>
    <xf numFmtId="0" fontId="15" fillId="0" borderId="11" xfId="0" applyFont="1" applyFill="1" applyBorder="1" applyAlignment="1" applyProtection="1">
      <alignment horizontal="left" vertical="center"/>
      <protection locked="0" hidden="1"/>
    </xf>
    <xf numFmtId="0" fontId="56" fillId="0" borderId="0" xfId="0" applyFont="1" applyBorder="1" applyAlignment="1" applyProtection="1">
      <alignment horizontal="center" vertical="center" wrapText="1"/>
      <protection hidden="1"/>
    </xf>
    <xf numFmtId="0" fontId="56" fillId="0" borderId="49" xfId="0" applyFont="1" applyBorder="1" applyAlignment="1" applyProtection="1">
      <alignment horizontal="center" vertical="center" wrapText="1"/>
      <protection hidden="1"/>
    </xf>
    <xf numFmtId="0" fontId="83" fillId="0" borderId="76" xfId="0" applyFont="1" applyBorder="1" applyAlignment="1" applyProtection="1">
      <alignment horizontal="left" wrapText="1"/>
      <protection hidden="1"/>
    </xf>
    <xf numFmtId="0" fontId="83" fillId="0" borderId="0" xfId="0" applyFont="1" applyBorder="1" applyAlignment="1" applyProtection="1">
      <alignment horizontal="left" wrapText="1"/>
      <protection hidden="1"/>
    </xf>
    <xf numFmtId="0" fontId="26" fillId="10" borderId="18" xfId="0" applyFont="1" applyFill="1" applyBorder="1" applyAlignment="1" applyProtection="1">
      <alignment horizontal="center" vertical="center" wrapText="1"/>
      <protection hidden="1"/>
    </xf>
    <xf numFmtId="0" fontId="26" fillId="10" borderId="66" xfId="0" applyFont="1" applyFill="1" applyBorder="1" applyAlignment="1" applyProtection="1">
      <alignment horizontal="center" vertical="center" wrapText="1"/>
      <protection hidden="1"/>
    </xf>
    <xf numFmtId="0" fontId="26" fillId="11" borderId="18" xfId="0" applyFont="1" applyFill="1" applyBorder="1" applyAlignment="1" applyProtection="1">
      <alignment horizontal="center" vertical="center" wrapText="1"/>
      <protection hidden="1"/>
    </xf>
    <xf numFmtId="0" fontId="26" fillId="11" borderId="66" xfId="0" applyFont="1" applyFill="1" applyBorder="1" applyAlignment="1" applyProtection="1">
      <alignment horizontal="center" vertical="center" wrapText="1"/>
      <protection hidden="1"/>
    </xf>
    <xf numFmtId="0" fontId="26" fillId="12" borderId="18" xfId="0" applyFont="1" applyFill="1" applyBorder="1" applyAlignment="1" applyProtection="1">
      <alignment horizontal="center" vertical="center"/>
      <protection hidden="1"/>
    </xf>
    <xf numFmtId="0" fontId="26" fillId="12" borderId="66" xfId="0" applyFont="1" applyFill="1" applyBorder="1" applyAlignment="1" applyProtection="1">
      <alignment horizontal="center" vertical="center"/>
      <protection hidden="1"/>
    </xf>
    <xf numFmtId="0" fontId="26" fillId="6" borderId="18" xfId="0" applyFont="1" applyFill="1" applyBorder="1" applyAlignment="1" applyProtection="1">
      <alignment horizontal="center" vertical="center" wrapText="1"/>
      <protection hidden="1"/>
    </xf>
    <xf numFmtId="0" fontId="0" fillId="0" borderId="66" xfId="0" applyBorder="1" applyProtection="1">
      <protection hidden="1"/>
    </xf>
    <xf numFmtId="0" fontId="26" fillId="8" borderId="18" xfId="0" applyFont="1" applyFill="1" applyBorder="1" applyAlignment="1" applyProtection="1">
      <alignment horizontal="center" vertical="center" wrapText="1"/>
      <protection hidden="1"/>
    </xf>
    <xf numFmtId="0" fontId="26" fillId="8" borderId="66" xfId="0" applyFont="1" applyFill="1" applyBorder="1" applyAlignment="1" applyProtection="1">
      <alignment horizontal="center" vertical="center" wrapText="1"/>
      <protection hidden="1"/>
    </xf>
    <xf numFmtId="0" fontId="26" fillId="5" borderId="18" xfId="0" applyFont="1" applyFill="1" applyBorder="1" applyAlignment="1" applyProtection="1">
      <alignment horizontal="center" vertical="center" wrapText="1"/>
      <protection hidden="1"/>
    </xf>
    <xf numFmtId="0" fontId="26" fillId="5" borderId="66" xfId="0" applyFont="1" applyFill="1" applyBorder="1" applyAlignment="1" applyProtection="1">
      <alignment horizontal="center" vertical="center" wrapText="1"/>
      <protection hidden="1"/>
    </xf>
    <xf numFmtId="0" fontId="26" fillId="9" borderId="18" xfId="0" applyFont="1" applyFill="1" applyBorder="1" applyAlignment="1" applyProtection="1">
      <alignment horizontal="center" vertical="center" wrapText="1"/>
      <protection hidden="1"/>
    </xf>
    <xf numFmtId="0" fontId="26" fillId="9" borderId="66" xfId="0" applyFont="1" applyFill="1" applyBorder="1" applyAlignment="1" applyProtection="1">
      <alignment horizontal="center" vertical="center" wrapText="1"/>
      <protection hidden="1"/>
    </xf>
    <xf numFmtId="0" fontId="13" fillId="0" borderId="73" xfId="0" applyFont="1" applyBorder="1" applyAlignment="1" applyProtection="1">
      <alignment horizontal="center" vertical="center" wrapText="1"/>
      <protection hidden="1"/>
    </xf>
    <xf numFmtId="0" fontId="13" fillId="0" borderId="74" xfId="0" applyFont="1" applyBorder="1" applyProtection="1">
      <protection hidden="1"/>
    </xf>
    <xf numFmtId="0" fontId="45" fillId="2" borderId="74" xfId="0" applyFont="1" applyFill="1" applyBorder="1" applyAlignment="1" applyProtection="1">
      <alignment horizontal="center" vertical="center" wrapText="1"/>
      <protection hidden="1"/>
    </xf>
    <xf numFmtId="0" fontId="0" fillId="0" borderId="75" xfId="0" applyBorder="1" applyProtection="1">
      <protection hidden="1"/>
    </xf>
    <xf numFmtId="0" fontId="41" fillId="0" borderId="18" xfId="0" applyFont="1" applyBorder="1" applyAlignment="1" applyProtection="1">
      <alignment horizontal="left" wrapText="1"/>
      <protection locked="0" hidden="1"/>
    </xf>
    <xf numFmtId="0" fontId="41" fillId="0" borderId="66" xfId="0" applyFont="1" applyBorder="1" applyAlignment="1" applyProtection="1">
      <alignment horizontal="left" wrapText="1"/>
      <protection locked="0" hidden="1"/>
    </xf>
    <xf numFmtId="0" fontId="15" fillId="0" borderId="18" xfId="0" applyFont="1" applyFill="1" applyBorder="1" applyAlignment="1" applyProtection="1">
      <alignment horizontal="center" wrapText="1"/>
      <protection hidden="1"/>
    </xf>
    <xf numFmtId="0" fontId="15" fillId="0" borderId="66" xfId="0" applyFont="1" applyFill="1" applyBorder="1" applyAlignment="1" applyProtection="1">
      <alignment horizontal="center" wrapText="1"/>
      <protection hidden="1"/>
    </xf>
    <xf numFmtId="0" fontId="9" fillId="0" borderId="0" xfId="0" applyFont="1" applyFill="1" applyBorder="1" applyAlignment="1" applyProtection="1">
      <alignment horizontal="left" vertical="top" wrapText="1"/>
      <protection hidden="1"/>
    </xf>
    <xf numFmtId="0" fontId="9" fillId="0" borderId="27" xfId="0" applyFont="1" applyFill="1" applyBorder="1" applyAlignment="1" applyProtection="1">
      <alignment horizontal="left" vertical="top" wrapText="1"/>
      <protection hidden="1"/>
    </xf>
    <xf numFmtId="0" fontId="51" fillId="0" borderId="49" xfId="0" applyFont="1" applyBorder="1" applyAlignment="1" applyProtection="1">
      <alignment horizontal="center" vertical="center" wrapText="1"/>
      <protection hidden="1"/>
    </xf>
    <xf numFmtId="0" fontId="13" fillId="0" borderId="77" xfId="0" applyFont="1" applyBorder="1" applyAlignment="1" applyProtection="1">
      <alignment horizontal="center" vertical="center" wrapText="1"/>
      <protection hidden="1"/>
    </xf>
    <xf numFmtId="0" fontId="13" fillId="0" borderId="4" xfId="0" applyFont="1" applyBorder="1" applyAlignment="1" applyProtection="1">
      <alignment horizontal="center" vertical="center" wrapText="1"/>
      <protection hidden="1"/>
    </xf>
    <xf numFmtId="0" fontId="13" fillId="0" borderId="82" xfId="0" applyFont="1" applyBorder="1" applyAlignment="1" applyProtection="1">
      <alignment horizontal="center" vertical="center" wrapText="1"/>
      <protection hidden="1"/>
    </xf>
    <xf numFmtId="0" fontId="13" fillId="0" borderId="8" xfId="0" applyFont="1" applyBorder="1" applyAlignment="1" applyProtection="1">
      <alignment horizontal="center" vertical="center" wrapText="1"/>
      <protection hidden="1"/>
    </xf>
    <xf numFmtId="0" fontId="45" fillId="2" borderId="82" xfId="0" applyFont="1" applyFill="1" applyBorder="1" applyAlignment="1" applyProtection="1">
      <alignment horizontal="center" vertical="center" wrapText="1"/>
      <protection hidden="1"/>
    </xf>
    <xf numFmtId="0" fontId="45" fillId="2" borderId="8" xfId="0" applyFont="1" applyFill="1" applyBorder="1" applyAlignment="1" applyProtection="1">
      <alignment horizontal="center" vertical="center" wrapText="1"/>
      <protection hidden="1"/>
    </xf>
    <xf numFmtId="0" fontId="45" fillId="2" borderId="83" xfId="0" applyFont="1" applyFill="1" applyBorder="1" applyAlignment="1" applyProtection="1">
      <alignment horizontal="center" vertical="center" wrapText="1"/>
      <protection hidden="1"/>
    </xf>
    <xf numFmtId="0" fontId="45" fillId="2" borderId="9" xfId="0" applyFont="1" applyFill="1" applyBorder="1" applyAlignment="1" applyProtection="1">
      <alignment horizontal="center" vertical="center" wrapText="1"/>
      <protection hidden="1"/>
    </xf>
    <xf numFmtId="0" fontId="14" fillId="12" borderId="69" xfId="0" applyFont="1" applyFill="1" applyBorder="1" applyAlignment="1" applyProtection="1">
      <alignment horizontal="left" vertical="center"/>
      <protection hidden="1"/>
    </xf>
    <xf numFmtId="0" fontId="14" fillId="12" borderId="71" xfId="0" applyFont="1" applyFill="1" applyBorder="1" applyAlignment="1" applyProtection="1">
      <alignment horizontal="left" vertical="center"/>
      <protection hidden="1"/>
    </xf>
    <xf numFmtId="0" fontId="15" fillId="0" borderId="1" xfId="0" applyFont="1" applyBorder="1" applyAlignment="1" applyProtection="1">
      <alignment horizontal="right"/>
      <protection hidden="1"/>
    </xf>
    <xf numFmtId="0" fontId="8" fillId="0" borderId="18" xfId="0" applyFont="1" applyBorder="1" applyAlignment="1" applyProtection="1">
      <alignment horizontal="right" vertical="center" wrapText="1"/>
      <protection hidden="1"/>
    </xf>
    <xf numFmtId="0" fontId="8" fillId="0" borderId="66" xfId="0" applyFont="1" applyBorder="1" applyAlignment="1" applyProtection="1">
      <alignment horizontal="right" vertical="center" wrapText="1"/>
      <protection hidden="1"/>
    </xf>
    <xf numFmtId="0" fontId="8" fillId="0" borderId="67" xfId="0" applyFont="1" applyBorder="1" applyAlignment="1" applyProtection="1">
      <alignment horizontal="left" vertical="top"/>
      <protection locked="0" hidden="1"/>
    </xf>
    <xf numFmtId="0" fontId="8" fillId="0" borderId="66" xfId="0" applyFont="1" applyBorder="1" applyAlignment="1" applyProtection="1">
      <alignment horizontal="left" vertical="top"/>
      <protection locked="0" hidden="1"/>
    </xf>
    <xf numFmtId="0" fontId="15" fillId="0" borderId="1" xfId="0" applyFont="1" applyBorder="1" applyAlignment="1" applyProtection="1">
      <alignment horizontal="right" vertical="center"/>
      <protection hidden="1"/>
    </xf>
    <xf numFmtId="0" fontId="8" fillId="0" borderId="1" xfId="0" applyFont="1" applyBorder="1" applyAlignment="1" applyProtection="1">
      <alignment horizontal="left" vertical="center"/>
      <protection locked="0" hidden="1"/>
    </xf>
    <xf numFmtId="0" fontId="20" fillId="0" borderId="0" xfId="0" applyFont="1" applyFill="1" applyBorder="1" applyAlignment="1" applyProtection="1">
      <alignment horizontal="left" vertical="center"/>
      <protection hidden="1"/>
    </xf>
    <xf numFmtId="0" fontId="33" fillId="0" borderId="0" xfId="0" applyFont="1" applyBorder="1" applyAlignment="1" applyProtection="1">
      <alignment horizontal="left" vertical="center" wrapText="1"/>
      <protection hidden="1"/>
    </xf>
    <xf numFmtId="0" fontId="33" fillId="0" borderId="27" xfId="0" applyFont="1" applyBorder="1" applyAlignment="1" applyProtection="1">
      <alignment horizontal="left" vertical="center" wrapText="1"/>
      <protection hidden="1"/>
    </xf>
    <xf numFmtId="0" fontId="15" fillId="0" borderId="1" xfId="0" applyFont="1" applyBorder="1" applyAlignment="1" applyProtection="1">
      <alignment horizontal="right" vertical="center" wrapText="1"/>
      <protection hidden="1"/>
    </xf>
    <xf numFmtId="0" fontId="15" fillId="0" borderId="78" xfId="0" applyFont="1" applyBorder="1" applyAlignment="1" applyProtection="1">
      <alignment horizontal="right" vertical="center" wrapText="1"/>
      <protection hidden="1"/>
    </xf>
    <xf numFmtId="0" fontId="15" fillId="0" borderId="79" xfId="0" applyFont="1" applyBorder="1" applyAlignment="1" applyProtection="1">
      <alignment horizontal="right" vertical="center" wrapText="1"/>
      <protection hidden="1"/>
    </xf>
    <xf numFmtId="0" fontId="15" fillId="0" borderId="12" xfId="0" applyFont="1" applyBorder="1" applyAlignment="1" applyProtection="1">
      <alignment horizontal="right" vertical="center" wrapText="1"/>
      <protection hidden="1"/>
    </xf>
    <xf numFmtId="0" fontId="15" fillId="0" borderId="17" xfId="0" applyFont="1" applyBorder="1" applyAlignment="1" applyProtection="1">
      <alignment horizontal="right" vertical="center" wrapText="1"/>
      <protection hidden="1"/>
    </xf>
    <xf numFmtId="0" fontId="0" fillId="0" borderId="78" xfId="0" applyBorder="1" applyAlignment="1" applyProtection="1">
      <alignment horizontal="left"/>
      <protection locked="0" hidden="1"/>
    </xf>
    <xf numFmtId="0" fontId="0" fillId="0" borderId="76" xfId="0" applyBorder="1" applyAlignment="1" applyProtection="1">
      <alignment horizontal="left"/>
      <protection locked="0" hidden="1"/>
    </xf>
    <xf numFmtId="0" fontId="0" fillId="0" borderId="79" xfId="0" applyBorder="1" applyAlignment="1" applyProtection="1">
      <alignment horizontal="left"/>
      <protection locked="0" hidden="1"/>
    </xf>
    <xf numFmtId="0" fontId="0" fillId="0" borderId="12" xfId="0" applyBorder="1" applyAlignment="1" applyProtection="1">
      <alignment horizontal="left"/>
      <protection locked="0" hidden="1"/>
    </xf>
    <xf numFmtId="0" fontId="0" fillId="0" borderId="27" xfId="0" applyBorder="1" applyAlignment="1" applyProtection="1">
      <alignment horizontal="left"/>
      <protection locked="0" hidden="1"/>
    </xf>
    <xf numFmtId="0" fontId="0" fillId="0" borderId="17" xfId="0" applyBorder="1" applyAlignment="1" applyProtection="1">
      <alignment horizontal="left"/>
      <protection locked="0" hidden="1"/>
    </xf>
    <xf numFmtId="0" fontId="61" fillId="0" borderId="1" xfId="0" applyFont="1" applyBorder="1" applyAlignment="1" applyProtection="1">
      <alignment horizontal="left" vertical="top" wrapText="1"/>
      <protection hidden="1"/>
    </xf>
    <xf numFmtId="0" fontId="15" fillId="0" borderId="78" xfId="0" applyFont="1" applyBorder="1" applyAlignment="1" applyProtection="1">
      <alignment horizontal="center" vertical="center" wrapText="1"/>
      <protection hidden="1"/>
    </xf>
    <xf numFmtId="0" fontId="15" fillId="0" borderId="12" xfId="0" applyFont="1" applyBorder="1" applyAlignment="1" applyProtection="1">
      <alignment horizontal="center"/>
      <protection hidden="1"/>
    </xf>
    <xf numFmtId="0" fontId="0" fillId="0" borderId="78" xfId="0" applyBorder="1" applyAlignment="1" applyProtection="1">
      <alignment horizontal="center" wrapText="1"/>
      <protection locked="0" hidden="1"/>
    </xf>
    <xf numFmtId="0" fontId="0" fillId="0" borderId="79" xfId="0" applyBorder="1" applyAlignment="1" applyProtection="1">
      <alignment horizontal="center" wrapText="1"/>
      <protection locked="0" hidden="1"/>
    </xf>
    <xf numFmtId="0" fontId="0" fillId="0" borderId="12" xfId="0" applyBorder="1" applyAlignment="1" applyProtection="1">
      <alignment horizontal="center" wrapText="1"/>
      <protection locked="0" hidden="1"/>
    </xf>
    <xf numFmtId="0" fontId="0" fillId="0" borderId="17" xfId="0" applyBorder="1" applyAlignment="1" applyProtection="1">
      <alignment horizontal="center" wrapText="1"/>
      <protection locked="0" hidden="1"/>
    </xf>
    <xf numFmtId="0" fontId="15" fillId="0" borderId="11" xfId="0" applyFont="1" applyBorder="1" applyAlignment="1" applyProtection="1">
      <alignment horizontal="right" vertical="center"/>
      <protection hidden="1"/>
    </xf>
    <xf numFmtId="0" fontId="15" fillId="0" borderId="10" xfId="0" applyFont="1" applyBorder="1" applyAlignment="1" applyProtection="1">
      <alignment horizontal="right" vertical="center"/>
      <protection hidden="1"/>
    </xf>
    <xf numFmtId="0" fontId="8" fillId="15" borderId="18" xfId="0" applyFont="1" applyFill="1" applyBorder="1" applyAlignment="1" applyProtection="1">
      <alignment horizontal="center" vertical="center" wrapText="1"/>
      <protection hidden="1"/>
    </xf>
    <xf numFmtId="0" fontId="8" fillId="15" borderId="66" xfId="0" applyFont="1" applyFill="1" applyBorder="1" applyAlignment="1" applyProtection="1">
      <alignment horizontal="center" vertical="center" wrapText="1"/>
      <protection hidden="1"/>
    </xf>
    <xf numFmtId="0" fontId="15" fillId="15" borderId="18" xfId="0" applyFont="1" applyFill="1" applyBorder="1" applyAlignment="1" applyProtection="1">
      <alignment horizontal="center" vertical="center" wrapText="1"/>
      <protection hidden="1"/>
    </xf>
    <xf numFmtId="0" fontId="15" fillId="15" borderId="67" xfId="0" applyFont="1" applyFill="1" applyBorder="1" applyAlignment="1" applyProtection="1">
      <alignment horizontal="center" vertical="center" wrapText="1"/>
      <protection hidden="1"/>
    </xf>
    <xf numFmtId="0" fontId="15" fillId="15" borderId="66" xfId="0" applyFont="1" applyFill="1" applyBorder="1" applyAlignment="1" applyProtection="1">
      <alignment horizontal="center" vertical="center" wrapText="1"/>
      <protection hidden="1"/>
    </xf>
    <xf numFmtId="0" fontId="8" fillId="0" borderId="18" xfId="0" applyFont="1" applyBorder="1" applyAlignment="1" applyProtection="1">
      <alignment horizontal="left" vertical="center" wrapText="1"/>
      <protection locked="0" hidden="1"/>
    </xf>
    <xf numFmtId="0" fontId="8" fillId="0" borderId="67" xfId="0" applyFont="1" applyBorder="1" applyAlignment="1" applyProtection="1">
      <alignment horizontal="left" vertical="center" wrapText="1"/>
      <protection locked="0" hidden="1"/>
    </xf>
    <xf numFmtId="0" fontId="8" fillId="0" borderId="66" xfId="0" applyFont="1" applyBorder="1" applyAlignment="1" applyProtection="1">
      <alignment horizontal="left" vertical="center" wrapText="1"/>
      <protection locked="0" hidden="1"/>
    </xf>
    <xf numFmtId="0" fontId="15" fillId="0" borderId="11" xfId="0" applyFont="1" applyBorder="1" applyAlignment="1" applyProtection="1">
      <alignment horizontal="right" vertical="center" wrapText="1"/>
      <protection hidden="1"/>
    </xf>
    <xf numFmtId="0" fontId="61" fillId="0" borderId="0" xfId="0" applyFont="1" applyBorder="1" applyAlignment="1" applyProtection="1">
      <alignment horizontal="left" vertical="top" wrapText="1"/>
      <protection hidden="1"/>
    </xf>
    <xf numFmtId="0" fontId="61" fillId="0" borderId="21" xfId="0" applyFont="1" applyBorder="1" applyAlignment="1" applyProtection="1">
      <alignment horizontal="left" vertical="top" wrapText="1"/>
      <protection hidden="1"/>
    </xf>
    <xf numFmtId="0" fontId="61" fillId="0" borderId="27" xfId="0" applyFont="1" applyBorder="1" applyAlignment="1" applyProtection="1">
      <alignment horizontal="left" vertical="top" wrapText="1"/>
      <protection hidden="1"/>
    </xf>
    <xf numFmtId="0" fontId="61" fillId="0" borderId="17" xfId="0" applyFont="1" applyBorder="1" applyAlignment="1" applyProtection="1">
      <alignment horizontal="left" vertical="top" wrapText="1"/>
      <protection hidden="1"/>
    </xf>
    <xf numFmtId="0" fontId="15" fillId="0" borderId="18" xfId="0" applyFont="1" applyBorder="1" applyAlignment="1" applyProtection="1">
      <alignment horizontal="right" vertical="center" wrapText="1"/>
      <protection hidden="1"/>
    </xf>
    <xf numFmtId="0" fontId="15" fillId="0" borderId="66" xfId="0" applyFont="1" applyBorder="1" applyAlignment="1" applyProtection="1">
      <alignment horizontal="right" vertical="center" wrapText="1"/>
      <protection hidden="1"/>
    </xf>
    <xf numFmtId="0" fontId="61" fillId="0" borderId="18" xfId="0" applyFont="1" applyBorder="1" applyAlignment="1" applyProtection="1">
      <alignment horizontal="left" vertical="top" wrapText="1"/>
      <protection locked="0" hidden="1"/>
    </xf>
    <xf numFmtId="0" fontId="61" fillId="0" borderId="67" xfId="0" applyFont="1" applyBorder="1" applyAlignment="1" applyProtection="1">
      <alignment horizontal="left" vertical="top" wrapText="1"/>
      <protection locked="0" hidden="1"/>
    </xf>
    <xf numFmtId="0" fontId="61" fillId="0" borderId="66" xfId="0" applyFont="1" applyBorder="1" applyAlignment="1" applyProtection="1">
      <alignment horizontal="left" vertical="top" wrapText="1"/>
      <protection locked="0" hidden="1"/>
    </xf>
    <xf numFmtId="0" fontId="15" fillId="0" borderId="79" xfId="0" applyFont="1" applyBorder="1" applyProtection="1">
      <protection hidden="1"/>
    </xf>
    <xf numFmtId="0" fontId="15" fillId="0" borderId="12" xfId="0" applyFont="1" applyBorder="1" applyProtection="1">
      <protection hidden="1"/>
    </xf>
    <xf numFmtId="0" fontId="15" fillId="0" borderId="17" xfId="0" applyFont="1" applyBorder="1" applyProtection="1">
      <protection hidden="1"/>
    </xf>
    <xf numFmtId="49" fontId="21" fillId="0" borderId="0" xfId="0" applyNumberFormat="1" applyFont="1" applyFill="1" applyBorder="1" applyAlignment="1">
      <alignment horizontal="left" vertical="center"/>
    </xf>
    <xf numFmtId="0" fontId="15" fillId="0" borderId="12"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17" xfId="0" applyFont="1" applyBorder="1" applyAlignment="1">
      <alignment horizontal="center" vertical="center" wrapText="1"/>
    </xf>
    <xf numFmtId="49" fontId="31" fillId="0" borderId="78" xfId="0" applyNumberFormat="1" applyFont="1" applyFill="1" applyBorder="1" applyAlignment="1">
      <alignment horizontal="center" vertical="center" wrapText="1"/>
    </xf>
    <xf numFmtId="49" fontId="31" fillId="0" borderId="76" xfId="0" applyNumberFormat="1" applyFont="1" applyFill="1" applyBorder="1" applyAlignment="1">
      <alignment horizontal="center" vertical="center" wrapText="1"/>
    </xf>
    <xf numFmtId="49" fontId="31" fillId="0" borderId="79" xfId="0" applyNumberFormat="1" applyFont="1" applyFill="1" applyBorder="1" applyAlignment="1">
      <alignment horizontal="center" vertical="center" wrapText="1"/>
    </xf>
    <xf numFmtId="49" fontId="31" fillId="0" borderId="24" xfId="0" applyNumberFormat="1" applyFont="1" applyFill="1" applyBorder="1" applyAlignment="1">
      <alignment horizontal="center" vertical="center" wrapText="1"/>
    </xf>
    <xf numFmtId="49" fontId="31" fillId="0" borderId="0" xfId="0" applyNumberFormat="1" applyFont="1" applyFill="1" applyBorder="1" applyAlignment="1">
      <alignment horizontal="center" vertical="center" wrapText="1"/>
    </xf>
    <xf numFmtId="49" fontId="31" fillId="0" borderId="21" xfId="0" applyNumberFormat="1" applyFont="1" applyFill="1" applyBorder="1" applyAlignment="1">
      <alignment horizontal="center" vertical="center" wrapText="1"/>
    </xf>
    <xf numFmtId="49" fontId="31" fillId="0" borderId="12" xfId="0" applyNumberFormat="1" applyFont="1" applyFill="1" applyBorder="1" applyAlignment="1">
      <alignment horizontal="center" vertical="center" wrapText="1"/>
    </xf>
    <xf numFmtId="49" fontId="31" fillId="0" borderId="17" xfId="0" applyNumberFormat="1" applyFont="1" applyFill="1" applyBorder="1" applyAlignment="1">
      <alignment horizontal="center" vertical="center" wrapText="1"/>
    </xf>
    <xf numFmtId="0" fontId="15" fillId="0" borderId="18" xfId="0" applyFont="1" applyBorder="1" applyAlignment="1">
      <alignment horizontal="center" vertical="center" wrapText="1"/>
    </xf>
    <xf numFmtId="0" fontId="15" fillId="0" borderId="67" xfId="0" applyFont="1" applyBorder="1" applyAlignment="1">
      <alignment horizontal="center" vertical="center" wrapText="1"/>
    </xf>
    <xf numFmtId="0" fontId="15" fillId="0" borderId="66" xfId="0" applyFont="1" applyBorder="1" applyAlignment="1">
      <alignment horizontal="center" vertical="center" wrapText="1"/>
    </xf>
    <xf numFmtId="0" fontId="23" fillId="0" borderId="0" xfId="0" applyFont="1" applyBorder="1" applyAlignment="1">
      <alignment horizontal="left" vertical="center" wrapText="1"/>
    </xf>
    <xf numFmtId="0" fontId="0" fillId="0" borderId="0" xfId="0" applyAlignment="1">
      <alignment horizontal="left" vertical="center" wrapText="1"/>
    </xf>
    <xf numFmtId="49" fontId="23" fillId="0" borderId="76" xfId="0" applyNumberFormat="1" applyFont="1" applyBorder="1" applyAlignment="1">
      <alignment horizontal="left" vertical="center" wrapText="1"/>
    </xf>
    <xf numFmtId="49" fontId="21" fillId="0" borderId="0" xfId="0" applyNumberFormat="1" applyFont="1" applyFill="1" applyBorder="1" applyAlignment="1">
      <alignment horizontal="left" vertical="center" wrapText="1"/>
    </xf>
    <xf numFmtId="49" fontId="29" fillId="0" borderId="0" xfId="0" applyNumberFormat="1" applyFont="1" applyFill="1" applyBorder="1" applyAlignment="1">
      <alignment horizontal="center" vertical="center" wrapText="1"/>
    </xf>
    <xf numFmtId="0" fontId="30" fillId="0" borderId="0" xfId="0" applyFont="1" applyBorder="1" applyAlignment="1">
      <alignment horizontal="center" vertical="center" wrapText="1"/>
    </xf>
    <xf numFmtId="0" fontId="30" fillId="0" borderId="0" xfId="0" applyFont="1" applyBorder="1" applyAlignment="1">
      <alignment vertical="center" wrapText="1"/>
    </xf>
    <xf numFmtId="49" fontId="21" fillId="0" borderId="113" xfId="0" applyNumberFormat="1" applyFont="1" applyFill="1" applyBorder="1" applyAlignment="1">
      <alignment horizontal="left" vertical="center" wrapText="1"/>
    </xf>
    <xf numFmtId="0" fontId="17" fillId="0" borderId="114" xfId="0" applyFont="1" applyFill="1" applyBorder="1" applyAlignment="1">
      <alignment horizontal="left" vertical="center" wrapText="1"/>
    </xf>
    <xf numFmtId="49" fontId="21" fillId="0" borderId="80" xfId="0" applyNumberFormat="1" applyFont="1" applyFill="1" applyBorder="1" applyAlignment="1">
      <alignment horizontal="left" vertical="center" wrapText="1"/>
    </xf>
    <xf numFmtId="0" fontId="17" fillId="0" borderId="81" xfId="0" applyFont="1" applyFill="1" applyBorder="1" applyAlignment="1">
      <alignment horizontal="left" vertical="center" wrapText="1"/>
    </xf>
    <xf numFmtId="0" fontId="17" fillId="0" borderId="80" xfId="0" applyFont="1" applyFill="1" applyBorder="1" applyAlignment="1">
      <alignment horizontal="left" vertical="center" wrapText="1"/>
    </xf>
    <xf numFmtId="49" fontId="31" fillId="0" borderId="113" xfId="0" applyNumberFormat="1" applyFont="1" applyFill="1" applyBorder="1" applyAlignment="1">
      <alignment horizontal="center" vertical="center" wrapText="1"/>
    </xf>
    <xf numFmtId="49" fontId="31" fillId="0" borderId="80" xfId="0" applyNumberFormat="1" applyFont="1" applyFill="1" applyBorder="1" applyAlignment="1">
      <alignment horizontal="center" vertical="center" wrapText="1"/>
    </xf>
    <xf numFmtId="0" fontId="32" fillId="0" borderId="80" xfId="0" applyFont="1" applyFill="1" applyBorder="1" applyAlignment="1">
      <alignment horizontal="center" vertical="center" wrapText="1"/>
    </xf>
    <xf numFmtId="49" fontId="31" fillId="0" borderId="10" xfId="0" applyNumberFormat="1" applyFont="1" applyFill="1" applyBorder="1" applyAlignment="1">
      <alignment horizontal="center" vertical="center" wrapText="1"/>
    </xf>
    <xf numFmtId="49" fontId="31" fillId="0" borderId="20" xfId="0" applyNumberFormat="1" applyFont="1" applyFill="1" applyBorder="1" applyAlignment="1">
      <alignment horizontal="center" vertical="center" wrapText="1"/>
    </xf>
    <xf numFmtId="0" fontId="32" fillId="0" borderId="20" xfId="0" applyFont="1" applyFill="1" applyBorder="1" applyAlignment="1">
      <alignment horizontal="center" vertical="center" wrapText="1"/>
    </xf>
    <xf numFmtId="49" fontId="31" fillId="0" borderId="115" xfId="0" applyNumberFormat="1" applyFont="1" applyFill="1" applyBorder="1" applyAlignment="1">
      <alignment horizontal="center" vertical="center" wrapText="1"/>
    </xf>
    <xf numFmtId="49" fontId="31" fillId="0" borderId="84" xfId="0" applyNumberFormat="1" applyFont="1" applyFill="1" applyBorder="1" applyAlignment="1">
      <alignment horizontal="center" vertical="center" wrapText="1"/>
    </xf>
    <xf numFmtId="0" fontId="32" fillId="0" borderId="84" xfId="0" applyFont="1" applyFill="1" applyBorder="1" applyAlignment="1">
      <alignment horizontal="center" vertical="center" wrapText="1"/>
    </xf>
    <xf numFmtId="49" fontId="31" fillId="0" borderId="116" xfId="0" applyNumberFormat="1" applyFont="1" applyFill="1" applyBorder="1" applyAlignment="1">
      <alignment horizontal="center" vertical="center" wrapText="1"/>
    </xf>
    <xf numFmtId="49" fontId="31" fillId="0" borderId="85" xfId="0" applyNumberFormat="1" applyFont="1" applyFill="1" applyBorder="1" applyAlignment="1">
      <alignment horizontal="center" vertical="center" wrapText="1"/>
    </xf>
    <xf numFmtId="0" fontId="32" fillId="0" borderId="85" xfId="0" applyFont="1" applyFill="1" applyBorder="1" applyAlignment="1">
      <alignment horizontal="center" vertical="center" wrapText="1"/>
    </xf>
    <xf numFmtId="0" fontId="22" fillId="3" borderId="0" xfId="0" applyFont="1" applyFill="1" applyAlignment="1">
      <alignment horizontal="left" vertical="center" wrapText="1"/>
    </xf>
    <xf numFmtId="0" fontId="25" fillId="0" borderId="0" xfId="0" applyFont="1" applyAlignment="1">
      <alignment horizontal="left" vertical="center" wrapText="1"/>
    </xf>
    <xf numFmtId="0" fontId="26" fillId="3" borderId="0" xfId="0" applyFont="1" applyFill="1" applyAlignment="1">
      <alignment horizontal="left" vertical="center" wrapText="1"/>
    </xf>
    <xf numFmtId="0" fontId="21" fillId="0" borderId="0" xfId="0" applyFont="1" applyFill="1" applyAlignment="1">
      <alignment horizontal="left" vertical="center" wrapText="1"/>
    </xf>
    <xf numFmtId="0" fontId="27" fillId="0" borderId="0" xfId="0" applyFont="1" applyFill="1" applyAlignment="1">
      <alignment horizontal="left" vertical="center" wrapText="1"/>
    </xf>
    <xf numFmtId="0" fontId="17" fillId="0" borderId="0" xfId="0" applyFont="1" applyFill="1" applyAlignment="1">
      <alignment horizontal="left" vertical="center" wrapText="1"/>
    </xf>
    <xf numFmtId="0" fontId="26" fillId="3" borderId="0" xfId="0" applyFont="1" applyFill="1" applyAlignment="1" applyProtection="1">
      <alignment horizontal="left" vertical="center" wrapText="1"/>
      <protection hidden="1"/>
    </xf>
    <xf numFmtId="0" fontId="0" fillId="0" borderId="0" xfId="0" applyAlignment="1" applyProtection="1">
      <alignment vertical="center" wrapText="1"/>
      <protection hidden="1"/>
    </xf>
    <xf numFmtId="0" fontId="21" fillId="0" borderId="0" xfId="0" applyFont="1" applyFill="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27" xfId="0" applyFont="1" applyBorder="1" applyAlignment="1" applyProtection="1">
      <alignment horizontal="left" vertical="center" wrapText="1"/>
      <protection hidden="1"/>
    </xf>
    <xf numFmtId="1" fontId="16" fillId="0" borderId="18" xfId="0" applyNumberFormat="1" applyFont="1" applyFill="1" applyBorder="1" applyAlignment="1" applyProtection="1">
      <alignment horizontal="center" vertical="center"/>
      <protection hidden="1"/>
    </xf>
    <xf numFmtId="1" fontId="16" fillId="0" borderId="67" xfId="0" applyNumberFormat="1" applyFont="1" applyFill="1" applyBorder="1" applyAlignment="1" applyProtection="1">
      <alignment horizontal="center" vertical="center"/>
      <protection hidden="1"/>
    </xf>
    <xf numFmtId="1" fontId="16" fillId="0" borderId="66" xfId="0" applyNumberFormat="1" applyFont="1" applyFill="1" applyBorder="1" applyAlignment="1" applyProtection="1">
      <alignment horizontal="center" vertical="center"/>
      <protection hidden="1"/>
    </xf>
    <xf numFmtId="1" fontId="16" fillId="0" borderId="18" xfId="0" applyNumberFormat="1" applyFont="1" applyFill="1" applyBorder="1" applyAlignment="1" applyProtection="1">
      <alignment horizontal="center" vertical="center" wrapText="1"/>
      <protection hidden="1"/>
    </xf>
    <xf numFmtId="1" fontId="16" fillId="0" borderId="67" xfId="0" applyNumberFormat="1" applyFont="1" applyFill="1" applyBorder="1" applyAlignment="1" applyProtection="1">
      <alignment horizontal="center" vertical="center" wrapText="1"/>
      <protection hidden="1"/>
    </xf>
    <xf numFmtId="1" fontId="16" fillId="0" borderId="66" xfId="0" applyNumberFormat="1" applyFont="1" applyFill="1" applyBorder="1" applyAlignment="1" applyProtection="1">
      <alignment horizontal="center" vertical="center" wrapText="1"/>
      <protection hidden="1"/>
    </xf>
    <xf numFmtId="0" fontId="16" fillId="0" borderId="1" xfId="0" applyFont="1" applyFill="1" applyBorder="1" applyAlignment="1" applyProtection="1">
      <alignment horizontal="center" vertical="center" wrapText="1"/>
      <protection hidden="1"/>
    </xf>
    <xf numFmtId="0" fontId="23" fillId="0" borderId="10" xfId="0" applyFont="1" applyBorder="1" applyAlignment="1" applyProtection="1">
      <alignment horizontal="center" vertical="center"/>
      <protection hidden="1"/>
    </xf>
    <xf numFmtId="0" fontId="23" fillId="0" borderId="11" xfId="0" applyFont="1" applyBorder="1" applyAlignment="1" applyProtection="1">
      <alignment horizontal="center" vertical="center"/>
      <protection hidden="1"/>
    </xf>
    <xf numFmtId="0" fontId="23" fillId="0" borderId="1" xfId="0" applyFont="1" applyBorder="1" applyAlignment="1" applyProtection="1">
      <alignment horizontal="left" vertical="center" wrapText="1"/>
      <protection hidden="1"/>
    </xf>
    <xf numFmtId="3" fontId="39" fillId="0" borderId="1" xfId="0" applyNumberFormat="1" applyFont="1" applyFill="1" applyBorder="1" applyAlignment="1" applyProtection="1">
      <alignment horizontal="left" vertical="center"/>
      <protection hidden="1"/>
    </xf>
    <xf numFmtId="3" fontId="39" fillId="0" borderId="1" xfId="1" applyNumberFormat="1" applyFont="1" applyFill="1" applyBorder="1" applyAlignment="1" applyProtection="1">
      <alignment horizontal="left" vertical="center"/>
      <protection hidden="1"/>
    </xf>
    <xf numFmtId="0" fontId="0" fillId="0" borderId="18" xfId="0" applyBorder="1" applyAlignment="1" applyProtection="1">
      <alignment horizontal="center" vertical="center" wrapText="1"/>
      <protection hidden="1"/>
    </xf>
    <xf numFmtId="0" fontId="0" fillId="0" borderId="66" xfId="0" applyBorder="1" applyAlignment="1" applyProtection="1">
      <alignment horizontal="left" vertical="center" wrapText="1"/>
      <protection hidden="1"/>
    </xf>
    <xf numFmtId="0" fontId="0" fillId="0" borderId="1" xfId="0" applyBorder="1" applyAlignment="1" applyProtection="1">
      <alignment horizontal="left" vertical="center" wrapText="1"/>
      <protection hidden="1"/>
    </xf>
    <xf numFmtId="164" fontId="23" fillId="0" borderId="10" xfId="0" applyNumberFormat="1" applyFont="1" applyBorder="1" applyAlignment="1" applyProtection="1">
      <alignment horizontal="center" vertical="center"/>
      <protection hidden="1"/>
    </xf>
    <xf numFmtId="164" fontId="23" fillId="0" borderId="11" xfId="0" applyNumberFormat="1" applyFont="1" applyBorder="1" applyAlignment="1" applyProtection="1">
      <alignment horizontal="center" vertical="center"/>
      <protection hidden="1"/>
    </xf>
    <xf numFmtId="0" fontId="0" fillId="0" borderId="18" xfId="0" applyFill="1" applyBorder="1" applyAlignment="1" applyProtection="1">
      <alignment horizontal="center" vertical="center" wrapText="1"/>
      <protection hidden="1"/>
    </xf>
    <xf numFmtId="0" fontId="0" fillId="0" borderId="66" xfId="0" applyFill="1" applyBorder="1" applyAlignment="1" applyProtection="1">
      <alignment horizontal="left" vertical="center" wrapText="1"/>
      <protection hidden="1"/>
    </xf>
    <xf numFmtId="0" fontId="0" fillId="0" borderId="1" xfId="0" applyFill="1" applyBorder="1" applyAlignment="1" applyProtection="1">
      <alignment horizontal="left" vertical="center" wrapText="1"/>
      <protection hidden="1"/>
    </xf>
    <xf numFmtId="0" fontId="23" fillId="0" borderId="0" xfId="0" applyFont="1" applyBorder="1" applyAlignment="1" applyProtection="1">
      <alignment horizontal="left" vertical="center" wrapText="1"/>
      <protection hidden="1"/>
    </xf>
    <xf numFmtId="49" fontId="21" fillId="0" borderId="0" xfId="0" applyNumberFormat="1" applyFont="1" applyFill="1" applyBorder="1" applyAlignment="1" applyProtection="1">
      <alignment horizontal="left" vertical="center" wrapText="1"/>
      <protection hidden="1"/>
    </xf>
    <xf numFmtId="0" fontId="0" fillId="0" borderId="0" xfId="0" applyBorder="1" applyAlignment="1" applyProtection="1">
      <alignment vertical="center" wrapText="1"/>
      <protection hidden="1"/>
    </xf>
    <xf numFmtId="49" fontId="31" fillId="0" borderId="86" xfId="0" applyNumberFormat="1" applyFont="1" applyFill="1" applyBorder="1" applyAlignment="1" applyProtection="1">
      <alignment horizontal="center" vertical="center" wrapText="1"/>
      <protection hidden="1"/>
    </xf>
    <xf numFmtId="0" fontId="31" fillId="0" borderId="87" xfId="0" applyFont="1" applyFill="1" applyBorder="1" applyAlignment="1" applyProtection="1">
      <alignment horizontal="center" vertical="center" wrapText="1"/>
      <protection hidden="1"/>
    </xf>
    <xf numFmtId="49" fontId="31" fillId="0" borderId="87" xfId="0" applyNumberFormat="1" applyFont="1" applyFill="1" applyBorder="1" applyAlignment="1" applyProtection="1">
      <alignment horizontal="center" vertical="center" wrapText="1"/>
      <protection hidden="1"/>
    </xf>
    <xf numFmtId="0" fontId="21" fillId="4" borderId="88" xfId="0" applyFont="1" applyFill="1" applyBorder="1" applyAlignment="1" applyProtection="1">
      <alignment horizontal="right" vertical="center"/>
      <protection locked="0" hidden="1"/>
    </xf>
    <xf numFmtId="0" fontId="21" fillId="4" borderId="89" xfId="0" applyFont="1" applyFill="1" applyBorder="1" applyAlignment="1" applyProtection="1">
      <alignment horizontal="right" vertical="center"/>
      <protection locked="0" hidden="1"/>
    </xf>
    <xf numFmtId="0" fontId="21" fillId="4" borderId="90" xfId="0" applyFont="1" applyFill="1" applyBorder="1" applyAlignment="1" applyProtection="1">
      <alignment horizontal="right" vertical="center"/>
      <protection locked="0" hidden="1"/>
    </xf>
    <xf numFmtId="0" fontId="23" fillId="0" borderId="0" xfId="0" applyFont="1" applyAlignment="1" applyProtection="1">
      <alignment vertical="center"/>
      <protection locked="0" hidden="1"/>
    </xf>
    <xf numFmtId="9" fontId="21" fillId="4" borderId="88" xfId="2" applyFont="1" applyFill="1" applyBorder="1" applyAlignment="1" applyProtection="1">
      <alignment horizontal="center" vertical="center"/>
      <protection hidden="1"/>
    </xf>
    <xf numFmtId="9" fontId="21" fillId="4" borderId="89" xfId="2" applyFont="1" applyFill="1" applyBorder="1" applyAlignment="1" applyProtection="1">
      <alignment horizontal="center" vertical="center"/>
      <protection hidden="1"/>
    </xf>
    <xf numFmtId="9" fontId="21" fillId="4" borderId="90" xfId="2" applyFont="1" applyFill="1" applyBorder="1" applyAlignment="1" applyProtection="1">
      <alignment horizontal="center" vertical="center"/>
      <protection hidden="1"/>
    </xf>
    <xf numFmtId="0" fontId="21" fillId="4" borderId="83" xfId="0" applyFont="1" applyFill="1" applyBorder="1" applyAlignment="1" applyProtection="1">
      <alignment horizontal="right" vertical="center"/>
      <protection locked="0" hidden="1"/>
    </xf>
    <xf numFmtId="0" fontId="21" fillId="4" borderId="49" xfId="0" applyFont="1" applyFill="1" applyBorder="1" applyAlignment="1" applyProtection="1">
      <alignment horizontal="right" vertical="center"/>
      <protection locked="0" hidden="1"/>
    </xf>
    <xf numFmtId="9" fontId="21" fillId="4" borderId="88" xfId="0" applyNumberFormat="1" applyFont="1" applyFill="1" applyBorder="1" applyAlignment="1" applyProtection="1">
      <alignment horizontal="center" vertical="center"/>
      <protection hidden="1"/>
    </xf>
    <xf numFmtId="9" fontId="21" fillId="4" borderId="89" xfId="0" applyNumberFormat="1" applyFont="1" applyFill="1" applyBorder="1" applyAlignment="1" applyProtection="1">
      <alignment horizontal="center" vertical="center"/>
      <protection hidden="1"/>
    </xf>
    <xf numFmtId="9" fontId="21" fillId="4" borderId="9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center"/>
      <protection locked="0" hidden="1"/>
    </xf>
    <xf numFmtId="1" fontId="2" fillId="0" borderId="142" xfId="6" applyNumberFormat="1" applyFont="1" applyBorder="1" applyAlignment="1">
      <alignment horizontal="center"/>
    </xf>
    <xf numFmtId="1" fontId="3" fillId="0" borderId="143" xfId="6" applyNumberFormat="1" applyFont="1" applyBorder="1" applyAlignment="1">
      <alignment horizontal="center"/>
    </xf>
    <xf numFmtId="1" fontId="3" fillId="0" borderId="144" xfId="6" applyNumberFormat="1" applyFont="1" applyBorder="1" applyAlignment="1">
      <alignment horizontal="center"/>
    </xf>
    <xf numFmtId="0" fontId="2" fillId="0" borderId="88" xfId="6" applyFont="1" applyBorder="1" applyAlignment="1">
      <alignment horizontal="center"/>
    </xf>
    <xf numFmtId="0" fontId="7" fillId="0" borderId="89" xfId="6" applyBorder="1" applyAlignment="1">
      <alignment horizontal="center"/>
    </xf>
    <xf numFmtId="0" fontId="7" fillId="0" borderId="90" xfId="6" applyBorder="1" applyAlignment="1">
      <alignment horizontal="center"/>
    </xf>
    <xf numFmtId="0" fontId="73" fillId="22" borderId="5" xfId="5" applyFont="1" applyFill="1" applyBorder="1" applyAlignment="1">
      <alignment vertical="top" wrapText="1"/>
    </xf>
    <xf numFmtId="0" fontId="73" fillId="22" borderId="19" xfId="5" applyFont="1" applyFill="1" applyBorder="1" applyAlignment="1">
      <alignment vertical="top" wrapText="1"/>
    </xf>
    <xf numFmtId="0" fontId="73" fillId="22" borderId="10" xfId="5" applyFont="1" applyFill="1" applyBorder="1" applyAlignment="1">
      <alignment horizontal="left" vertical="top" wrapText="1"/>
    </xf>
    <xf numFmtId="0" fontId="73" fillId="22" borderId="132" xfId="5" applyFont="1" applyFill="1" applyBorder="1" applyAlignment="1">
      <alignment horizontal="left" vertical="top" wrapText="1"/>
    </xf>
    <xf numFmtId="0" fontId="73" fillId="22" borderId="7" xfId="5" applyFont="1" applyFill="1" applyBorder="1" applyAlignment="1">
      <alignment vertical="top" wrapText="1"/>
    </xf>
    <xf numFmtId="0" fontId="73" fillId="22" borderId="93" xfId="5" applyFont="1" applyFill="1" applyBorder="1" applyAlignment="1">
      <alignment vertical="top" wrapText="1"/>
    </xf>
    <xf numFmtId="0" fontId="73" fillId="0" borderId="5" xfId="5" applyFont="1" applyBorder="1" applyAlignment="1">
      <alignment vertical="top" wrapText="1"/>
    </xf>
    <xf numFmtId="0" fontId="73" fillId="0" borderId="1" xfId="5" applyFont="1" applyBorder="1" applyAlignment="1">
      <alignment vertical="top" wrapText="1"/>
    </xf>
    <xf numFmtId="0" fontId="73" fillId="22" borderId="1" xfId="5" applyFont="1" applyFill="1" applyBorder="1" applyAlignment="1">
      <alignment vertical="top" wrapText="1"/>
    </xf>
    <xf numFmtId="0" fontId="72" fillId="21" borderId="2" xfId="5" applyFont="1" applyFill="1" applyBorder="1" applyAlignment="1">
      <alignment horizontal="center" wrapText="1"/>
    </xf>
    <xf numFmtId="0" fontId="72" fillId="21" borderId="5" xfId="5" applyFont="1" applyFill="1" applyBorder="1" applyAlignment="1">
      <alignment horizontal="center" wrapText="1"/>
    </xf>
    <xf numFmtId="0" fontId="72" fillId="21" borderId="3" xfId="5" applyFont="1" applyFill="1" applyBorder="1" applyAlignment="1">
      <alignment horizontal="center" wrapText="1"/>
    </xf>
    <xf numFmtId="0" fontId="72" fillId="21" borderId="1" xfId="5" applyFont="1" applyFill="1" applyBorder="1" applyAlignment="1">
      <alignment horizontal="center" wrapText="1"/>
    </xf>
  </cellXfs>
  <cellStyles count="7">
    <cellStyle name="Comma" xfId="1" builtinId="3"/>
    <cellStyle name="Input" xfId="4" builtinId="20"/>
    <cellStyle name="Normal" xfId="0" builtinId="0"/>
    <cellStyle name="Normal 2" xfId="5"/>
    <cellStyle name="Normal 3" xfId="6"/>
    <cellStyle name="Percent" xfId="2" builtinId="5"/>
    <cellStyle name="Percent 3" xfId="3"/>
  </cellStyles>
  <dxfs count="318">
    <dxf>
      <font>
        <color theme="0"/>
      </font>
    </dxf>
    <dxf>
      <font>
        <color theme="0"/>
      </font>
    </dxf>
    <dxf>
      <font>
        <color theme="0"/>
      </font>
    </dxf>
    <dxf>
      <font>
        <color theme="0"/>
      </font>
    </dxf>
    <dxf>
      <font>
        <color theme="0"/>
      </font>
    </dxf>
    <dxf>
      <font>
        <color theme="0"/>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008000"/>
      </font>
      <fill>
        <patternFill>
          <bgColor theme="6" tint="0.59996337778862885"/>
        </patternFill>
      </fill>
    </dxf>
    <dxf>
      <font>
        <b/>
        <i val="0"/>
        <color theme="9" tint="-0.24994659260841701"/>
      </font>
    </dxf>
    <dxf>
      <font>
        <b/>
        <i val="0"/>
        <color rgb="FFFF0000"/>
      </font>
      <fill>
        <patternFill>
          <bgColor theme="5"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C00000"/>
      </font>
      <fill>
        <patternFill>
          <bgColor theme="5"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C00000"/>
      </font>
      <fill>
        <patternFill>
          <bgColor theme="5"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C00000"/>
      </font>
      <fill>
        <patternFill>
          <bgColor theme="5"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C00000"/>
      </font>
      <fill>
        <patternFill>
          <bgColor theme="5"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C00000"/>
      </font>
      <fill>
        <patternFill>
          <bgColor theme="5"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C00000"/>
      </font>
      <fill>
        <patternFill>
          <bgColor theme="5"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C00000"/>
      </font>
      <fill>
        <patternFill>
          <bgColor theme="5"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C00000"/>
      </font>
      <fill>
        <patternFill>
          <bgColor theme="5"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C00000"/>
      </font>
      <fill>
        <patternFill>
          <bgColor theme="5"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C00000"/>
      </font>
      <fill>
        <patternFill>
          <bgColor theme="5"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C00000"/>
      </font>
      <fill>
        <patternFill>
          <bgColor theme="5"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C00000"/>
      </font>
      <fill>
        <patternFill>
          <bgColor theme="5"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b/>
        <i val="0"/>
        <color theme="5" tint="0.399945066682943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ont>
        <b/>
        <i val="0"/>
        <color theme="5" tint="0.39991454817346722"/>
      </font>
      <fill>
        <patternFill>
          <bgColor rgb="FFFF0000"/>
        </patternFill>
      </fill>
    </dxf>
    <dxf>
      <fill>
        <patternFill>
          <bgColor theme="5" tint="0.59996337778862885"/>
        </patternFill>
      </fill>
    </dxf>
    <dxf>
      <fill>
        <patternFill>
          <bgColor theme="5" tint="0.59996337778862885"/>
        </patternFill>
      </fill>
    </dxf>
    <dxf>
      <font>
        <color theme="0" tint="-0.34998626667073579"/>
      </font>
    </dxf>
    <dxf>
      <font>
        <color theme="0" tint="-0.34998626667073579"/>
      </font>
    </dxf>
    <dxf>
      <font>
        <b/>
        <i val="0"/>
      </font>
      <fill>
        <patternFill>
          <bgColor theme="8" tint="0.39994506668294322"/>
        </patternFill>
      </fill>
    </dxf>
    <dxf>
      <font>
        <b/>
        <i val="0"/>
      </font>
      <fill>
        <patternFill>
          <bgColor theme="6" tint="0.39994506668294322"/>
        </patternFill>
      </fill>
    </dxf>
    <dxf>
      <font>
        <color rgb="FFC00000"/>
      </font>
      <fill>
        <patternFill>
          <bgColor theme="5" tint="0.79998168889431442"/>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i val="0"/>
      </font>
      <fill>
        <patternFill>
          <bgColor theme="8" tint="0.39994506668294322"/>
        </patternFill>
      </fill>
    </dxf>
    <dxf>
      <font>
        <b/>
        <i val="0"/>
      </font>
      <fill>
        <patternFill>
          <bgColor theme="6" tint="0.39994506668294322"/>
        </patternFill>
      </fill>
    </dxf>
    <dxf>
      <font>
        <color rgb="FFC00000"/>
      </font>
      <fill>
        <patternFill>
          <bgColor theme="5" tint="0.7999816888943144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val="0"/>
        <i val="0"/>
        <strike val="0"/>
        <color theme="0" tint="-0.34998626667073579"/>
      </font>
      <fill>
        <patternFill patternType="none">
          <bgColor auto="1"/>
        </patternFill>
      </fill>
    </dxf>
    <dxf>
      <font>
        <b val="0"/>
        <i val="0"/>
        <strike val="0"/>
        <color theme="0" tint="-0.34998626667073579"/>
      </font>
      <fill>
        <patternFill patternType="none">
          <bgColor auto="1"/>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color rgb="FFC00000"/>
      </font>
      <fill>
        <patternFill>
          <bgColor theme="5" tint="0.79998168889431442"/>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condense val="0"/>
        <extend val="0"/>
        <color rgb="FF9C0006"/>
      </font>
      <fill>
        <patternFill>
          <bgColor rgb="FFFFC7CE"/>
        </patternFill>
      </fill>
    </dxf>
    <dxf>
      <font>
        <b val="0"/>
        <i val="0"/>
        <strike val="0"/>
        <color theme="0" tint="-0.34998626667073579"/>
      </font>
      <fill>
        <patternFill patternType="none">
          <bgColor auto="1"/>
        </patternFill>
      </fill>
    </dxf>
    <dxf>
      <fill>
        <patternFill>
          <bgColor theme="5" tint="0.59996337778862885"/>
        </patternFill>
      </fill>
    </dxf>
    <dxf>
      <font>
        <b val="0"/>
        <i val="0"/>
      </font>
      <fill>
        <patternFill patternType="solid">
          <bgColor theme="0"/>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color rgb="FFFF0000"/>
      </font>
      <fill>
        <patternFill patternType="none">
          <bgColor auto="1"/>
        </patternFill>
      </fill>
    </dxf>
    <dxf>
      <fill>
        <patternFill>
          <bgColor theme="1"/>
        </patternFill>
      </fill>
    </dxf>
    <dxf>
      <fill>
        <patternFill>
          <bgColor theme="1"/>
        </patternFill>
      </fill>
    </dxf>
  </dxfs>
  <tableStyles count="0" defaultTableStyle="TableStyleMedium9" defaultPivotStyle="PivotStyleLight16"/>
  <colors>
    <mruColors>
      <color rgb="FF008000"/>
      <color rgb="FFFADD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Energy Costs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Metrics!$B$28</c:f>
              <c:strCache>
                <c:ptCount val="1"/>
                <c:pt idx="0">
                  <c:v>Estimated Proposed Design Energy Cost ($/yr)d</c:v>
                </c:pt>
              </c:strCache>
            </c:strRef>
          </c:tx>
          <c:spPr>
            <a:solidFill>
              <a:schemeClr val="accent1"/>
            </a:solidFill>
            <a:ln>
              <a:noFill/>
            </a:ln>
            <a:effectLst/>
          </c:spPr>
          <c:invertIfNegative val="0"/>
          <c:cat>
            <c:strLit>
              <c:ptCount val="2"/>
              <c:pt idx="0">
                <c:v>Proposed</c:v>
              </c:pt>
              <c:pt idx="1">
                <c:v> U.S. Median</c:v>
              </c:pt>
            </c:strLit>
          </c:cat>
          <c:val>
            <c:numRef>
              <c:f>(Metrics!$D$28,Metrics!$D$29)</c:f>
              <c:numCache>
                <c:formatCode>"$"#,##0</c:formatCode>
                <c:ptCount val="2"/>
                <c:pt idx="0">
                  <c:v>#N/A</c:v>
                </c:pt>
                <c:pt idx="1">
                  <c:v>#N/A</c:v>
                </c:pt>
              </c:numCache>
            </c:numRef>
          </c:val>
        </c:ser>
        <c:dLbls>
          <c:showLegendKey val="0"/>
          <c:showVal val="0"/>
          <c:showCatName val="0"/>
          <c:showSerName val="0"/>
          <c:showPercent val="0"/>
          <c:showBubbleSize val="0"/>
        </c:dLbls>
        <c:gapWidth val="219"/>
        <c:overlap val="-27"/>
        <c:axId val="162266464"/>
        <c:axId val="162664984"/>
      </c:barChart>
      <c:catAx>
        <c:axId val="162266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664984"/>
        <c:crosses val="autoZero"/>
        <c:auto val="1"/>
        <c:lblAlgn val="ctr"/>
        <c:lblOffset val="100"/>
        <c:noMultiLvlLbl val="0"/>
      </c:catAx>
      <c:valAx>
        <c:axId val="162664984"/>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Annual Energy Costs</a:t>
                </a:r>
              </a:p>
              <a:p>
                <a:pPr>
                  <a:defRPr/>
                </a:pPr>
                <a:r>
                  <a:rPr lang="en-US"/>
                  <a:t> ($/yr)</a:t>
                </a:r>
              </a:p>
            </c:rich>
          </c:tx>
          <c:layout>
            <c:manualLayout>
              <c:xMode val="edge"/>
              <c:yMode val="edge"/>
              <c:x val="3.1241025123811012E-2"/>
              <c:y val="0.282608770485125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2664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Site Energy Use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Metrics!$B$23</c:f>
              <c:strCache>
                <c:ptCount val="1"/>
                <c:pt idx="0">
                  <c:v>Total Site Energy Use (kBtu/yr)</c:v>
                </c:pt>
              </c:strCache>
            </c:strRef>
          </c:tx>
          <c:spPr>
            <a:solidFill>
              <a:schemeClr val="accent1"/>
            </a:solidFill>
            <a:ln>
              <a:noFill/>
            </a:ln>
            <a:effectLst/>
          </c:spPr>
          <c:invertIfNegative val="0"/>
          <c:cat>
            <c:strLit>
              <c:ptCount val="2"/>
              <c:pt idx="0">
                <c:v>Proposed</c:v>
              </c:pt>
              <c:pt idx="1">
                <c:v> U.S. Median</c:v>
              </c:pt>
            </c:strLit>
          </c:cat>
          <c:val>
            <c:numRef>
              <c:f>Metrics!$D$23:$E$23</c:f>
              <c:numCache>
                <c:formatCode>#,##0</c:formatCode>
                <c:ptCount val="2"/>
                <c:pt idx="0">
                  <c:v>#N/A</c:v>
                </c:pt>
                <c:pt idx="1">
                  <c:v>#N/A</c:v>
                </c:pt>
              </c:numCache>
            </c:numRef>
          </c:val>
        </c:ser>
        <c:dLbls>
          <c:showLegendKey val="0"/>
          <c:showVal val="0"/>
          <c:showCatName val="0"/>
          <c:showSerName val="0"/>
          <c:showPercent val="0"/>
          <c:showBubbleSize val="0"/>
        </c:dLbls>
        <c:gapWidth val="219"/>
        <c:overlap val="-27"/>
        <c:axId val="162663416"/>
        <c:axId val="162663808"/>
      </c:barChart>
      <c:catAx>
        <c:axId val="162663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663808"/>
        <c:crosses val="autoZero"/>
        <c:auto val="1"/>
        <c:lblAlgn val="ctr"/>
        <c:lblOffset val="100"/>
        <c:noMultiLvlLbl val="0"/>
      </c:catAx>
      <c:valAx>
        <c:axId val="16266380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Annual Site Energy Use </a:t>
                </a:r>
              </a:p>
              <a:p>
                <a:pPr>
                  <a:defRPr/>
                </a:pPr>
                <a:r>
                  <a:rPr lang="en-US"/>
                  <a:t>(kBtu/yr)</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6634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Greenhouse</a:t>
            </a:r>
            <a:r>
              <a:rPr lang="en-US" baseline="0"/>
              <a:t> Gas</a:t>
            </a:r>
            <a:r>
              <a:rPr lang="en-US"/>
              <a:t> Emissions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Metrics!$B$32</c:f>
              <c:strCache>
                <c:ptCount val="1"/>
                <c:pt idx="0">
                  <c:v>Metric Tons of Greenhouse Gas Emissions (MTCO2eq)e:</c:v>
                </c:pt>
              </c:strCache>
            </c:strRef>
          </c:tx>
          <c:spPr>
            <a:solidFill>
              <a:schemeClr val="accent1"/>
            </a:solidFill>
            <a:ln>
              <a:noFill/>
            </a:ln>
            <a:effectLst/>
          </c:spPr>
          <c:invertIfNegative val="0"/>
          <c:cat>
            <c:strLit>
              <c:ptCount val="2"/>
              <c:pt idx="0">
                <c:v>Proposed</c:v>
              </c:pt>
              <c:pt idx="1">
                <c:v> U.S. Median</c:v>
              </c:pt>
            </c:strLit>
          </c:cat>
          <c:val>
            <c:numRef>
              <c:f>Metrics!$D$32:$E$32</c:f>
              <c:numCache>
                <c:formatCode>#,##0</c:formatCode>
                <c:ptCount val="2"/>
                <c:pt idx="0">
                  <c:v>0</c:v>
                </c:pt>
                <c:pt idx="1">
                  <c:v>0</c:v>
                </c:pt>
              </c:numCache>
            </c:numRef>
          </c:val>
        </c:ser>
        <c:dLbls>
          <c:showLegendKey val="0"/>
          <c:showVal val="0"/>
          <c:showCatName val="0"/>
          <c:showSerName val="0"/>
          <c:showPercent val="0"/>
          <c:showBubbleSize val="0"/>
        </c:dLbls>
        <c:gapWidth val="219"/>
        <c:overlap val="-27"/>
        <c:axId val="162665376"/>
        <c:axId val="162665768"/>
      </c:barChart>
      <c:catAx>
        <c:axId val="162665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665768"/>
        <c:crosses val="autoZero"/>
        <c:auto val="1"/>
        <c:lblAlgn val="ctr"/>
        <c:lblOffset val="100"/>
        <c:noMultiLvlLbl val="0"/>
      </c:catAx>
      <c:valAx>
        <c:axId val="16266576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Annual GHG Emissions</a:t>
                </a:r>
              </a:p>
              <a:p>
                <a:pPr>
                  <a:defRPr/>
                </a:pPr>
                <a:r>
                  <a:rPr lang="en-US" baseline="0"/>
                  <a:t> (Metric Tons </a:t>
                </a:r>
                <a:r>
                  <a:rPr lang="en-US" sz="1000" b="0" i="0" u="none" strike="noStrike" baseline="0">
                    <a:effectLst/>
                  </a:rPr>
                  <a:t>CO</a:t>
                </a:r>
                <a:r>
                  <a:rPr lang="en-US" sz="1000" b="0" i="0" u="none" strike="noStrike" baseline="-25000">
                    <a:effectLst/>
                  </a:rPr>
                  <a:t>2</a:t>
                </a:r>
                <a:r>
                  <a:rPr lang="en-US" sz="1000" b="0" i="0" u="none" strike="noStrike" baseline="0">
                    <a:effectLst/>
                  </a:rPr>
                  <a:t>eq/yr) </a:t>
                </a:r>
                <a:endParaRPr lang="en-US"/>
              </a:p>
            </c:rich>
          </c:tx>
          <c:layout>
            <c:manualLayout>
              <c:xMode val="edge"/>
              <c:yMode val="edge"/>
              <c:x val="4.4444444444444446E-2"/>
              <c:y val="0.2462933333333333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6653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Water Consumption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Metrics!$B$39</c:f>
              <c:strCache>
                <c:ptCount val="1"/>
                <c:pt idx="0">
                  <c:v>Estimated water consumption (kgal/yr) based on building size, type, and achievement of WE 3.1 and WE 3.2f</c:v>
                </c:pt>
              </c:strCache>
            </c:strRef>
          </c:tx>
          <c:spPr>
            <a:solidFill>
              <a:schemeClr val="accent1"/>
            </a:solidFill>
            <a:ln>
              <a:noFill/>
            </a:ln>
            <a:effectLst/>
          </c:spPr>
          <c:invertIfNegative val="0"/>
          <c:cat>
            <c:strRef>
              <c:f>Metrics!$D$38:$E$38</c:f>
              <c:strCache>
                <c:ptCount val="2"/>
                <c:pt idx="0">
                  <c:v>Proposed</c:v>
                </c:pt>
                <c:pt idx="1">
                  <c:v>Baseline</c:v>
                </c:pt>
              </c:strCache>
            </c:strRef>
          </c:cat>
          <c:val>
            <c:numRef>
              <c:f>Metrics!$D$39:$E$39</c:f>
              <c:numCache>
                <c:formatCode>#,##0</c:formatCode>
                <c:ptCount val="2"/>
                <c:pt idx="0">
                  <c:v>#N/A</c:v>
                </c:pt>
                <c:pt idx="1">
                  <c:v>#N/A</c:v>
                </c:pt>
              </c:numCache>
            </c:numRef>
          </c:val>
        </c:ser>
        <c:dLbls>
          <c:showLegendKey val="0"/>
          <c:showVal val="0"/>
          <c:showCatName val="0"/>
          <c:showSerName val="0"/>
          <c:showPercent val="0"/>
          <c:showBubbleSize val="0"/>
        </c:dLbls>
        <c:gapWidth val="219"/>
        <c:overlap val="-27"/>
        <c:axId val="162662240"/>
        <c:axId val="162664592"/>
      </c:barChart>
      <c:catAx>
        <c:axId val="162662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664592"/>
        <c:crosses val="autoZero"/>
        <c:auto val="1"/>
        <c:lblAlgn val="ctr"/>
        <c:lblOffset val="100"/>
        <c:noMultiLvlLbl val="0"/>
      </c:catAx>
      <c:valAx>
        <c:axId val="16266459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Annual</a:t>
                </a:r>
                <a:r>
                  <a:rPr lang="en-US" baseline="0"/>
                  <a:t> Water Consumption (kgal/yr)</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6622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Value of Tennessee Products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explosion val="2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extLst>
                <c:ext xmlns:c15="http://schemas.microsoft.com/office/drawing/2012/chart" uri="{02D57815-91ED-43cb-92C2-25804820EDAC}">
                  <c15:fullRef>
                    <c15:sqref>Summary!$B$19:$B$22</c15:sqref>
                  </c15:fullRef>
                </c:ext>
              </c:extLst>
              <c:f>(Summary!$B$19,Summary!$B$22)</c:f>
              <c:strCache>
                <c:ptCount val="2"/>
                <c:pt idx="0">
                  <c:v>Total Cost of TN Materials</c:v>
                </c:pt>
                <c:pt idx="1">
                  <c:v>Total Cost of Non-TN Materials </c:v>
                </c:pt>
              </c:strCache>
            </c:strRef>
          </c:cat>
          <c:val>
            <c:numRef>
              <c:extLst>
                <c:ext xmlns:c15="http://schemas.microsoft.com/office/drawing/2012/chart" uri="{02D57815-91ED-43cb-92C2-25804820EDAC}">
                  <c15:fullRef>
                    <c15:sqref>Summary!$C$19:$C$22</c15:sqref>
                  </c15:fullRef>
                </c:ext>
              </c:extLst>
              <c:f>(Summary!$C$19,Summary!$C$22)</c:f>
              <c:numCache>
                <c:formatCode>"$"#,##0</c:formatCode>
                <c:ptCount val="2"/>
                <c:pt idx="0">
                  <c:v>0</c:v>
                </c:pt>
                <c:pt idx="1">
                  <c:v>0</c:v>
                </c:pt>
              </c:numCache>
            </c:numRef>
          </c:val>
          <c:extLst>
            <c:ext xmlns:c15="http://schemas.microsoft.com/office/drawing/2012/chart" uri="{02D57815-91ED-43cb-92C2-25804820EDAC}">
              <c15:categoryFilterExceptions/>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857250</xdr:colOff>
      <xdr:row>23</xdr:row>
      <xdr:rowOff>85725</xdr:rowOff>
    </xdr:from>
    <xdr:to>
      <xdr:col>2</xdr:col>
      <xdr:colOff>966134</xdr:colOff>
      <xdr:row>39</xdr:row>
      <xdr:rowOff>90394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161925</xdr:colOff>
      <xdr:row>0</xdr:row>
      <xdr:rowOff>66674</xdr:rowOff>
    </xdr:from>
    <xdr:to>
      <xdr:col>12</xdr:col>
      <xdr:colOff>581025</xdr:colOff>
      <xdr:row>15</xdr:row>
      <xdr:rowOff>161924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180975</xdr:colOff>
      <xdr:row>16</xdr:row>
      <xdr:rowOff>171450</xdr:rowOff>
    </xdr:from>
    <xdr:to>
      <xdr:col>7</xdr:col>
      <xdr:colOff>600075</xdr:colOff>
      <xdr:row>30</xdr:row>
      <xdr:rowOff>142875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180975</xdr:colOff>
      <xdr:row>16</xdr:row>
      <xdr:rowOff>190499</xdr:rowOff>
    </xdr:from>
    <xdr:to>
      <xdr:col>12</xdr:col>
      <xdr:colOff>600075</xdr:colOff>
      <xdr:row>30</xdr:row>
      <xdr:rowOff>161924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241301</xdr:colOff>
      <xdr:row>0</xdr:row>
      <xdr:rowOff>57150</xdr:rowOff>
    </xdr:from>
    <xdr:to>
      <xdr:col>8</xdr:col>
      <xdr:colOff>50801</xdr:colOff>
      <xdr:row>15</xdr:row>
      <xdr:rowOff>152400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95250</xdr:colOff>
      <xdr:row>5</xdr:row>
      <xdr:rowOff>95250</xdr:rowOff>
    </xdr:from>
    <xdr:to>
      <xdr:col>5</xdr:col>
      <xdr:colOff>581025</xdr:colOff>
      <xdr:row>6</xdr:row>
      <xdr:rowOff>209550</xdr:rowOff>
    </xdr:to>
    <xdr:pic>
      <xdr:nvPicPr>
        <xdr:cNvPr id="2800" name="Picture 1"/>
        <xdr:cNvPicPr>
          <a:picLocks noChangeAspect="1" noChangeArrowheads="1"/>
        </xdr:cNvPicPr>
      </xdr:nvPicPr>
      <xdr:blipFill>
        <a:blip xmlns:r="http://schemas.openxmlformats.org/officeDocument/2006/relationships" r:embed="rId1" cstate="print"/>
        <a:srcRect l="88226" t="81305" b="8051"/>
        <a:stretch>
          <a:fillRect/>
        </a:stretch>
      </xdr:blipFill>
      <xdr:spPr bwMode="auto">
        <a:xfrm rot="10800000">
          <a:off x="3048000" y="1657350"/>
          <a:ext cx="485775" cy="390525"/>
        </a:xfrm>
        <a:prstGeom prst="rect">
          <a:avLst/>
        </a:prstGeom>
        <a:noFill/>
        <a:ln w="9525">
          <a:noFill/>
          <a:miter lim="800000"/>
          <a:headEnd/>
          <a:tailEnd/>
        </a:ln>
      </xdr:spPr>
    </xdr:pic>
    <xdr:clientData/>
  </xdr:twoCellAnchor>
  <xdr:twoCellAnchor editAs="oneCell">
    <xdr:from>
      <xdr:col>5</xdr:col>
      <xdr:colOff>133350</xdr:colOff>
      <xdr:row>7</xdr:row>
      <xdr:rowOff>85725</xdr:rowOff>
    </xdr:from>
    <xdr:to>
      <xdr:col>5</xdr:col>
      <xdr:colOff>590550</xdr:colOff>
      <xdr:row>8</xdr:row>
      <xdr:rowOff>161925</xdr:rowOff>
    </xdr:to>
    <xdr:pic>
      <xdr:nvPicPr>
        <xdr:cNvPr id="2801" name="Picture 2"/>
        <xdr:cNvPicPr>
          <a:picLocks noChangeAspect="1" noChangeArrowheads="1"/>
        </xdr:cNvPicPr>
      </xdr:nvPicPr>
      <xdr:blipFill>
        <a:blip xmlns:r="http://schemas.openxmlformats.org/officeDocument/2006/relationships" r:embed="rId1" cstate="print"/>
        <a:srcRect l="88226" t="63139" b="26279"/>
        <a:stretch>
          <a:fillRect/>
        </a:stretch>
      </xdr:blipFill>
      <xdr:spPr bwMode="auto">
        <a:xfrm rot="10800000">
          <a:off x="3086100" y="2333625"/>
          <a:ext cx="457200" cy="352425"/>
        </a:xfrm>
        <a:prstGeom prst="rect">
          <a:avLst/>
        </a:prstGeom>
        <a:noFill/>
        <a:ln w="9525">
          <a:noFill/>
          <a:miter lim="800000"/>
          <a:headEnd/>
          <a:tailEnd/>
        </a:ln>
      </xdr:spPr>
    </xdr:pic>
    <xdr:clientData/>
  </xdr:twoCellAnchor>
  <xdr:twoCellAnchor editAs="oneCell">
    <xdr:from>
      <xdr:col>5</xdr:col>
      <xdr:colOff>114300</xdr:colOff>
      <xdr:row>9</xdr:row>
      <xdr:rowOff>123825</xdr:rowOff>
    </xdr:from>
    <xdr:to>
      <xdr:col>5</xdr:col>
      <xdr:colOff>542925</xdr:colOff>
      <xdr:row>10</xdr:row>
      <xdr:rowOff>209550</xdr:rowOff>
    </xdr:to>
    <xdr:pic>
      <xdr:nvPicPr>
        <xdr:cNvPr id="2802" name="Picture 3"/>
        <xdr:cNvPicPr>
          <a:picLocks noChangeAspect="1" noChangeArrowheads="1"/>
        </xdr:cNvPicPr>
      </xdr:nvPicPr>
      <xdr:blipFill>
        <a:blip xmlns:r="http://schemas.openxmlformats.org/officeDocument/2006/relationships" r:embed="rId1" cstate="print"/>
        <a:srcRect l="88226" t="44797" b="44269"/>
        <a:stretch>
          <a:fillRect/>
        </a:stretch>
      </xdr:blipFill>
      <xdr:spPr bwMode="auto">
        <a:xfrm rot="10800000">
          <a:off x="3067050" y="2924175"/>
          <a:ext cx="428625" cy="361950"/>
        </a:xfrm>
        <a:prstGeom prst="rect">
          <a:avLst/>
        </a:prstGeom>
        <a:noFill/>
        <a:ln w="9525">
          <a:noFill/>
          <a:miter lim="800000"/>
          <a:headEnd/>
          <a:tailEnd/>
        </a:ln>
      </xdr:spPr>
    </xdr:pic>
    <xdr:clientData/>
  </xdr:twoCellAnchor>
  <xdr:twoCellAnchor editAs="oneCell">
    <xdr:from>
      <xdr:col>5</xdr:col>
      <xdr:colOff>114300</xdr:colOff>
      <xdr:row>13</xdr:row>
      <xdr:rowOff>76200</xdr:rowOff>
    </xdr:from>
    <xdr:to>
      <xdr:col>5</xdr:col>
      <xdr:colOff>571500</xdr:colOff>
      <xdr:row>14</xdr:row>
      <xdr:rowOff>180975</xdr:rowOff>
    </xdr:to>
    <xdr:pic>
      <xdr:nvPicPr>
        <xdr:cNvPr id="2803" name="Picture 4"/>
        <xdr:cNvPicPr>
          <a:picLocks noChangeAspect="1" noChangeArrowheads="1"/>
        </xdr:cNvPicPr>
      </xdr:nvPicPr>
      <xdr:blipFill>
        <a:blip xmlns:r="http://schemas.openxmlformats.org/officeDocument/2006/relationships" r:embed="rId1" cstate="print"/>
        <a:srcRect l="88226" t="7584" b="81305"/>
        <a:stretch>
          <a:fillRect/>
        </a:stretch>
      </xdr:blipFill>
      <xdr:spPr bwMode="auto">
        <a:xfrm rot="10800000">
          <a:off x="3067050" y="3981450"/>
          <a:ext cx="457200" cy="381000"/>
        </a:xfrm>
        <a:prstGeom prst="rect">
          <a:avLst/>
        </a:prstGeom>
        <a:noFill/>
        <a:ln w="9525">
          <a:noFill/>
          <a:miter lim="800000"/>
          <a:headEnd/>
          <a:tailEnd/>
        </a:ln>
      </xdr:spPr>
    </xdr:pic>
    <xdr:clientData/>
  </xdr:twoCellAnchor>
  <xdr:twoCellAnchor editAs="oneCell">
    <xdr:from>
      <xdr:col>5</xdr:col>
      <xdr:colOff>123825</xdr:colOff>
      <xdr:row>11</xdr:row>
      <xdr:rowOff>114300</xdr:rowOff>
    </xdr:from>
    <xdr:to>
      <xdr:col>5</xdr:col>
      <xdr:colOff>581025</xdr:colOff>
      <xdr:row>12</xdr:row>
      <xdr:rowOff>209550</xdr:rowOff>
    </xdr:to>
    <xdr:pic>
      <xdr:nvPicPr>
        <xdr:cNvPr id="2804" name="Picture 5"/>
        <xdr:cNvPicPr>
          <a:picLocks noChangeAspect="1" noChangeArrowheads="1"/>
        </xdr:cNvPicPr>
      </xdr:nvPicPr>
      <xdr:blipFill>
        <a:blip xmlns:r="http://schemas.openxmlformats.org/officeDocument/2006/relationships" r:embed="rId1" cstate="print"/>
        <a:srcRect l="88226" t="25926" b="62962"/>
        <a:stretch>
          <a:fillRect/>
        </a:stretch>
      </xdr:blipFill>
      <xdr:spPr bwMode="auto">
        <a:xfrm rot="10800000">
          <a:off x="3076575" y="3467100"/>
          <a:ext cx="457200" cy="371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2:C24"/>
  <sheetViews>
    <sheetView tabSelected="1" zoomScaleNormal="100" workbookViewId="0">
      <selection activeCell="C33" sqref="C33"/>
    </sheetView>
  </sheetViews>
  <sheetFormatPr defaultRowHeight="12.75" x14ac:dyDescent="0.2"/>
  <cols>
    <col min="2" max="2" width="47.140625" customWidth="1"/>
    <col min="3" max="3" width="27.85546875" bestFit="1" customWidth="1"/>
  </cols>
  <sheetData>
    <row r="2" spans="2:3" ht="15" customHeight="1" x14ac:dyDescent="0.25">
      <c r="B2" s="671" t="s">
        <v>477</v>
      </c>
      <c r="C2" s="672"/>
    </row>
    <row r="3" spans="2:3" ht="15" customHeight="1" x14ac:dyDescent="0.2">
      <c r="B3" s="511" t="str">
        <f>Metrics!B4&amp; ":"</f>
        <v>SBC Project Number:</v>
      </c>
      <c r="C3" s="523" t="str">
        <f>Metrics!D4</f>
        <v/>
      </c>
    </row>
    <row r="4" spans="2:3" ht="15" customHeight="1" x14ac:dyDescent="0.2">
      <c r="B4" s="511" t="str">
        <f>Metrics!B5&amp; ":"</f>
        <v>Project Name:</v>
      </c>
      <c r="C4" s="524">
        <f>Metrics!D5</f>
        <v>0</v>
      </c>
    </row>
    <row r="5" spans="2:3" ht="15" customHeight="1" x14ac:dyDescent="0.2">
      <c r="B5" s="499" t="s">
        <v>799</v>
      </c>
      <c r="C5" s="521">
        <f>Metrics!D6</f>
        <v>0</v>
      </c>
    </row>
    <row r="6" spans="2:3" ht="15" customHeight="1" x14ac:dyDescent="0.2">
      <c r="B6" s="499" t="s">
        <v>801</v>
      </c>
      <c r="C6" s="610">
        <f>Metrics!D7</f>
        <v>0</v>
      </c>
    </row>
    <row r="7" spans="2:3" ht="15" customHeight="1" x14ac:dyDescent="0.2"/>
    <row r="8" spans="2:3" ht="15" customHeight="1" x14ac:dyDescent="0.25">
      <c r="B8" s="667" t="s">
        <v>686</v>
      </c>
      <c r="C8" s="668"/>
    </row>
    <row r="9" spans="2:3" ht="15" customHeight="1" x14ac:dyDescent="0.2">
      <c r="B9" s="511" t="s">
        <v>802</v>
      </c>
      <c r="C9" s="522">
        <f>Metrics!D21</f>
        <v>0.42</v>
      </c>
    </row>
    <row r="10" spans="2:3" ht="15" customHeight="1" x14ac:dyDescent="0.2">
      <c r="B10" s="511" t="s">
        <v>701</v>
      </c>
      <c r="C10" s="521" t="e">
        <f>Metrics!D25</f>
        <v>#N/A</v>
      </c>
    </row>
    <row r="11" spans="2:3" ht="15" customHeight="1" x14ac:dyDescent="0.35">
      <c r="B11" s="499" t="s">
        <v>808</v>
      </c>
      <c r="C11" s="521">
        <f>Metrics!D33</f>
        <v>0</v>
      </c>
    </row>
    <row r="12" spans="2:3" ht="15" customHeight="1" x14ac:dyDescent="0.2">
      <c r="B12" s="499" t="s">
        <v>809</v>
      </c>
      <c r="C12" s="520" t="e">
        <f>Metrics!D30</f>
        <v>#N/A</v>
      </c>
    </row>
    <row r="13" spans="2:3" ht="15" customHeight="1" x14ac:dyDescent="0.2">
      <c r="B13" s="512"/>
      <c r="C13" s="513"/>
    </row>
    <row r="14" spans="2:3" ht="15" customHeight="1" x14ac:dyDescent="0.25">
      <c r="B14" s="665" t="s">
        <v>685</v>
      </c>
      <c r="C14" s="666"/>
    </row>
    <row r="15" spans="2:3" ht="15" customHeight="1" x14ac:dyDescent="0.2">
      <c r="B15" s="499" t="s">
        <v>780</v>
      </c>
      <c r="C15" s="521" t="e">
        <f>Metrics!D40</f>
        <v>#N/A</v>
      </c>
    </row>
    <row r="17" spans="2:3" ht="15" x14ac:dyDescent="0.25">
      <c r="B17" s="669" t="s">
        <v>687</v>
      </c>
      <c r="C17" s="670"/>
    </row>
    <row r="18" spans="2:3" ht="14.25" x14ac:dyDescent="0.2">
      <c r="B18" s="499" t="s">
        <v>714</v>
      </c>
      <c r="C18" s="520">
        <f>Metrics!D44</f>
        <v>0</v>
      </c>
    </row>
    <row r="19" spans="2:3" ht="14.25" x14ac:dyDescent="0.2">
      <c r="B19" s="499" t="s">
        <v>715</v>
      </c>
      <c r="C19" s="520">
        <f>Metrics!D45</f>
        <v>0</v>
      </c>
    </row>
    <row r="20" spans="2:3" ht="14.25" x14ac:dyDescent="0.2">
      <c r="B20" s="499" t="s">
        <v>711</v>
      </c>
      <c r="C20" s="520">
        <f>Metrics!D46</f>
        <v>0</v>
      </c>
    </row>
    <row r="21" spans="2:3" ht="14.25" x14ac:dyDescent="0.2">
      <c r="B21" s="499" t="s">
        <v>712</v>
      </c>
      <c r="C21" s="520">
        <f>Metrics!D47</f>
        <v>0</v>
      </c>
    </row>
    <row r="22" spans="2:3" ht="14.25" x14ac:dyDescent="0.2">
      <c r="B22" s="511" t="s">
        <v>713</v>
      </c>
      <c r="C22" s="520">
        <f>C18-C19</f>
        <v>0</v>
      </c>
    </row>
    <row r="24" spans="2:3" ht="14.25" x14ac:dyDescent="0.2">
      <c r="B24" s="515"/>
    </row>
  </sheetData>
  <sheetProtection algorithmName="SHA-512" hashValue="6uMLcyEyOUHB8c272XzcR1RsGRd3FF0ISEtesF7nV8vGVFhupt4ZpwwYmaxRRMEJ2XsM0goRO6kWOBUZo849Mw==" saltValue="V8DrPm3KIgcqhyHaHK+jFQ==" spinCount="100000" sheet="1" objects="1" scenarios="1" selectLockedCells="1"/>
  <mergeCells count="4">
    <mergeCell ref="B14:C14"/>
    <mergeCell ref="B8:C8"/>
    <mergeCell ref="B17:C17"/>
    <mergeCell ref="B2:C2"/>
  </mergeCells>
  <pageMargins left="0.7" right="0.7" top="0.75" bottom="0.75" header="0.3" footer="0.3"/>
  <pageSetup orientation="portrait" r:id="rId1"/>
  <headerFooter>
    <oddFooter>&amp;LMetrics Summary&amp;CState of TN HPBr 5/18/18&amp;RPage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8"/>
  </sheetPr>
  <dimension ref="A1:M75"/>
  <sheetViews>
    <sheetView zoomScaleNormal="100" zoomScaleSheetLayoutView="115" workbookViewId="0">
      <selection activeCell="Q8" sqref="Q8"/>
    </sheetView>
  </sheetViews>
  <sheetFormatPr defaultColWidth="9.140625" defaultRowHeight="12.75" x14ac:dyDescent="0.2"/>
  <cols>
    <col min="1" max="2" width="10.5703125" style="444" customWidth="1"/>
    <col min="3" max="3" width="7.7109375" style="444" bestFit="1" customWidth="1"/>
    <col min="4" max="4" width="9.42578125" style="444" customWidth="1"/>
    <col min="5" max="5" width="6" style="444" customWidth="1"/>
    <col min="6" max="6" width="11.7109375" style="444" customWidth="1"/>
    <col min="7" max="7" width="9.140625" style="444"/>
    <col min="8" max="8" width="8.85546875" style="444" customWidth="1"/>
    <col min="9" max="9" width="9.7109375" style="444" customWidth="1"/>
    <col min="10" max="10" width="9.42578125" style="444" customWidth="1"/>
    <col min="11" max="11" width="9.85546875" style="444" customWidth="1"/>
    <col min="12" max="12" width="15.140625" style="444" customWidth="1"/>
    <col min="13" max="13" width="7.42578125" style="444" customWidth="1"/>
    <col min="14" max="16384" width="9.140625" style="444"/>
  </cols>
  <sheetData>
    <row r="1" spans="1:13" s="442" customFormat="1" ht="20.100000000000001" customHeight="1" x14ac:dyDescent="0.2">
      <c r="A1" s="880" t="s">
        <v>45</v>
      </c>
      <c r="B1" s="880"/>
      <c r="C1" s="880"/>
      <c r="D1" s="880"/>
      <c r="E1" s="880"/>
      <c r="F1" s="880"/>
      <c r="G1" s="880"/>
      <c r="H1" s="880"/>
      <c r="I1" s="880"/>
      <c r="J1" s="880"/>
      <c r="K1" s="881"/>
      <c r="L1" s="881"/>
      <c r="M1" s="881"/>
    </row>
    <row r="2" spans="1:13" s="443" customFormat="1" ht="18.75" customHeight="1" x14ac:dyDescent="0.2">
      <c r="A2" s="882" t="s">
        <v>130</v>
      </c>
      <c r="B2" s="883"/>
      <c r="C2" s="883"/>
      <c r="D2" s="883"/>
      <c r="E2" s="883"/>
      <c r="F2" s="883"/>
      <c r="G2" s="883"/>
      <c r="H2" s="883"/>
      <c r="I2" s="883"/>
      <c r="J2" s="883"/>
      <c r="K2" s="881"/>
      <c r="L2" s="881"/>
      <c r="M2" s="881"/>
    </row>
    <row r="3" spans="1:13" s="443" customFormat="1" ht="18.75" customHeight="1" x14ac:dyDescent="0.2">
      <c r="A3" s="430"/>
      <c r="B3" s="462"/>
      <c r="C3" s="462"/>
      <c r="D3" s="462"/>
      <c r="E3" s="462"/>
      <c r="F3" s="462"/>
      <c r="G3" s="462"/>
      <c r="H3" s="462"/>
      <c r="I3" s="462"/>
      <c r="J3" s="462"/>
      <c r="K3" s="463"/>
      <c r="L3" s="463"/>
      <c r="M3" s="463"/>
    </row>
    <row r="4" spans="1:13" ht="20.100000000000001" customHeight="1" x14ac:dyDescent="0.2">
      <c r="A4" s="884" t="s">
        <v>51</v>
      </c>
      <c r="B4" s="884"/>
      <c r="C4" s="884"/>
      <c r="D4" s="884"/>
      <c r="E4" s="464"/>
      <c r="F4" s="431" t="s">
        <v>52</v>
      </c>
      <c r="G4" s="465"/>
      <c r="H4" s="465"/>
      <c r="I4" s="465"/>
      <c r="J4" s="465"/>
      <c r="K4" s="465"/>
      <c r="L4" s="439"/>
      <c r="M4" s="465"/>
    </row>
    <row r="5" spans="1:13" ht="46.5" customHeight="1" x14ac:dyDescent="0.2">
      <c r="A5" s="466" t="s">
        <v>53</v>
      </c>
      <c r="B5" s="885" t="s">
        <v>3</v>
      </c>
      <c r="C5" s="886"/>
      <c r="D5" s="887"/>
      <c r="E5" s="467"/>
      <c r="F5" s="888" t="s">
        <v>54</v>
      </c>
      <c r="G5" s="889"/>
      <c r="H5" s="890"/>
      <c r="I5" s="468" t="s">
        <v>55</v>
      </c>
      <c r="J5" s="468" t="s">
        <v>56</v>
      </c>
      <c r="K5" s="468" t="s">
        <v>57</v>
      </c>
      <c r="L5" s="891" t="s">
        <v>58</v>
      </c>
      <c r="M5" s="891"/>
    </row>
    <row r="6" spans="1:13" ht="21.75" customHeight="1" x14ac:dyDescent="0.2">
      <c r="A6" s="469">
        <v>1</v>
      </c>
      <c r="B6" s="896" t="s">
        <v>59</v>
      </c>
      <c r="C6" s="896"/>
      <c r="D6" s="896"/>
      <c r="E6" s="470"/>
      <c r="F6" s="897"/>
      <c r="G6" s="898" t="s">
        <v>60</v>
      </c>
      <c r="H6" s="899"/>
      <c r="I6" s="892">
        <v>0.1</v>
      </c>
      <c r="J6" s="892">
        <v>0.7</v>
      </c>
      <c r="K6" s="892">
        <v>1.4</v>
      </c>
      <c r="L6" s="894" t="s">
        <v>61</v>
      </c>
      <c r="M6" s="894"/>
    </row>
    <row r="7" spans="1:13" ht="32.25" customHeight="1" x14ac:dyDescent="0.2">
      <c r="A7" s="469">
        <v>2</v>
      </c>
      <c r="B7" s="895" t="s">
        <v>62</v>
      </c>
      <c r="C7" s="895"/>
      <c r="D7" s="895"/>
      <c r="E7" s="470"/>
      <c r="F7" s="897"/>
      <c r="G7" s="898"/>
      <c r="H7" s="899"/>
      <c r="I7" s="893"/>
      <c r="J7" s="893"/>
      <c r="K7" s="893"/>
      <c r="L7" s="894"/>
      <c r="M7" s="894"/>
    </row>
    <row r="8" spans="1:13" ht="21.75" customHeight="1" x14ac:dyDescent="0.2">
      <c r="A8" s="469">
        <v>3</v>
      </c>
      <c r="B8" s="895" t="s">
        <v>63</v>
      </c>
      <c r="C8" s="895"/>
      <c r="D8" s="895"/>
      <c r="E8" s="470"/>
      <c r="F8" s="897"/>
      <c r="G8" s="898" t="s">
        <v>64</v>
      </c>
      <c r="H8" s="899"/>
      <c r="I8" s="892">
        <v>0.1</v>
      </c>
      <c r="J8" s="892">
        <v>0.4</v>
      </c>
      <c r="K8" s="892">
        <v>0.8</v>
      </c>
      <c r="L8" s="894" t="s">
        <v>65</v>
      </c>
      <c r="M8" s="894"/>
    </row>
    <row r="9" spans="1:13" ht="21.75" customHeight="1" x14ac:dyDescent="0.2">
      <c r="A9" s="469">
        <v>4</v>
      </c>
      <c r="B9" s="895" t="s">
        <v>66</v>
      </c>
      <c r="C9" s="895"/>
      <c r="D9" s="895"/>
      <c r="E9" s="470"/>
      <c r="F9" s="897"/>
      <c r="G9" s="898"/>
      <c r="H9" s="899"/>
      <c r="I9" s="893"/>
      <c r="J9" s="893"/>
      <c r="K9" s="893"/>
      <c r="L9" s="894"/>
      <c r="M9" s="894"/>
    </row>
    <row r="10" spans="1:13" ht="21.75" customHeight="1" x14ac:dyDescent="0.2">
      <c r="A10" s="469">
        <v>5</v>
      </c>
      <c r="B10" s="895" t="s">
        <v>67</v>
      </c>
      <c r="C10" s="895"/>
      <c r="D10" s="895"/>
      <c r="E10" s="471"/>
      <c r="F10" s="902"/>
      <c r="G10" s="903" t="s">
        <v>68</v>
      </c>
      <c r="H10" s="904"/>
      <c r="I10" s="892">
        <v>0.2</v>
      </c>
      <c r="J10" s="892">
        <v>0.4</v>
      </c>
      <c r="K10" s="900">
        <v>1</v>
      </c>
      <c r="L10" s="894" t="s">
        <v>69</v>
      </c>
      <c r="M10" s="894"/>
    </row>
    <row r="11" spans="1:13" ht="21.75" customHeight="1" x14ac:dyDescent="0.2">
      <c r="A11" s="469">
        <v>6</v>
      </c>
      <c r="B11" s="895" t="s">
        <v>70</v>
      </c>
      <c r="C11" s="895"/>
      <c r="D11" s="895"/>
      <c r="E11" s="471"/>
      <c r="F11" s="902"/>
      <c r="G11" s="903"/>
      <c r="H11" s="904"/>
      <c r="I11" s="893"/>
      <c r="J11" s="893"/>
      <c r="K11" s="901"/>
      <c r="L11" s="894"/>
      <c r="M11" s="894"/>
    </row>
    <row r="12" spans="1:13" ht="21.75" customHeight="1" x14ac:dyDescent="0.2">
      <c r="A12" s="469">
        <v>7</v>
      </c>
      <c r="B12" s="895" t="s">
        <v>71</v>
      </c>
      <c r="C12" s="895"/>
      <c r="D12" s="895"/>
      <c r="E12" s="471"/>
      <c r="F12" s="902"/>
      <c r="G12" s="903" t="s">
        <v>72</v>
      </c>
      <c r="H12" s="904"/>
      <c r="I12" s="892">
        <v>0.33</v>
      </c>
      <c r="J12" s="892">
        <v>0.4</v>
      </c>
      <c r="K12" s="900">
        <v>1</v>
      </c>
      <c r="L12" s="894" t="s">
        <v>73</v>
      </c>
      <c r="M12" s="894"/>
    </row>
    <row r="13" spans="1:13" ht="21.75" customHeight="1" x14ac:dyDescent="0.2">
      <c r="A13" s="469">
        <v>8</v>
      </c>
      <c r="B13" s="895" t="s">
        <v>74</v>
      </c>
      <c r="C13" s="895"/>
      <c r="D13" s="895"/>
      <c r="E13" s="470"/>
      <c r="F13" s="902"/>
      <c r="G13" s="903"/>
      <c r="H13" s="904"/>
      <c r="I13" s="893"/>
      <c r="J13" s="893"/>
      <c r="K13" s="901"/>
      <c r="L13" s="894"/>
      <c r="M13" s="894"/>
    </row>
    <row r="14" spans="1:13" ht="21.75" customHeight="1" x14ac:dyDescent="0.2">
      <c r="A14" s="472"/>
      <c r="B14" s="473"/>
      <c r="C14" s="470"/>
      <c r="D14" s="470"/>
      <c r="E14" s="470"/>
      <c r="F14" s="897"/>
      <c r="G14" s="898" t="s">
        <v>75</v>
      </c>
      <c r="H14" s="899"/>
      <c r="I14" s="892">
        <v>0.5</v>
      </c>
      <c r="J14" s="892">
        <v>0.4</v>
      </c>
      <c r="K14" s="900">
        <v>1</v>
      </c>
      <c r="L14" s="894" t="s">
        <v>76</v>
      </c>
      <c r="M14" s="894"/>
    </row>
    <row r="15" spans="1:13" ht="21.75" customHeight="1" x14ac:dyDescent="0.2">
      <c r="A15" s="472"/>
      <c r="B15" s="473"/>
      <c r="C15" s="470"/>
      <c r="D15" s="470"/>
      <c r="E15" s="470"/>
      <c r="F15" s="897"/>
      <c r="G15" s="898"/>
      <c r="H15" s="899"/>
      <c r="I15" s="893"/>
      <c r="J15" s="893"/>
      <c r="K15" s="901"/>
      <c r="L15" s="894"/>
      <c r="M15" s="894"/>
    </row>
    <row r="16" spans="1:13" ht="20.100000000000001" customHeight="1" x14ac:dyDescent="0.2">
      <c r="A16" s="472"/>
      <c r="B16" s="473"/>
      <c r="C16" s="470"/>
      <c r="D16" s="470"/>
      <c r="E16" s="470"/>
      <c r="F16" s="470"/>
      <c r="G16" s="439"/>
      <c r="H16" s="439"/>
      <c r="I16" s="439"/>
      <c r="J16" s="439"/>
      <c r="K16" s="439"/>
      <c r="L16" s="439"/>
      <c r="M16" s="439"/>
    </row>
    <row r="17" spans="1:13" ht="9.9499999999999993" customHeight="1" x14ac:dyDescent="0.2">
      <c r="A17" s="905"/>
      <c r="B17" s="905"/>
      <c r="C17" s="905"/>
      <c r="D17" s="905"/>
      <c r="E17" s="905"/>
      <c r="F17" s="905"/>
      <c r="G17" s="905"/>
      <c r="H17" s="905"/>
      <c r="I17" s="905"/>
      <c r="J17" s="905"/>
      <c r="K17" s="905"/>
      <c r="L17" s="905"/>
      <c r="M17" s="905"/>
    </row>
    <row r="18" spans="1:13" s="445" customFormat="1" ht="20.100000000000001" customHeight="1" thickBot="1" x14ac:dyDescent="0.25">
      <c r="A18" s="906" t="s">
        <v>77</v>
      </c>
      <c r="B18" s="907"/>
      <c r="C18" s="907"/>
      <c r="D18" s="907"/>
      <c r="E18" s="907"/>
      <c r="F18" s="907"/>
      <c r="G18" s="907"/>
      <c r="H18" s="907"/>
      <c r="I18" s="907"/>
      <c r="J18" s="907"/>
      <c r="K18" s="907"/>
      <c r="L18" s="907"/>
      <c r="M18" s="907"/>
    </row>
    <row r="19" spans="1:13" ht="35.1" customHeight="1" x14ac:dyDescent="0.2">
      <c r="A19" s="452" t="s">
        <v>78</v>
      </c>
      <c r="B19" s="453" t="s">
        <v>79</v>
      </c>
      <c r="C19" s="453" t="s">
        <v>80</v>
      </c>
      <c r="D19" s="908" t="s">
        <v>81</v>
      </c>
      <c r="E19" s="909"/>
      <c r="F19" s="908" t="s">
        <v>82</v>
      </c>
      <c r="G19" s="910"/>
      <c r="H19" s="453" t="s">
        <v>83</v>
      </c>
      <c r="I19" s="908" t="s">
        <v>84</v>
      </c>
      <c r="J19" s="909"/>
      <c r="K19" s="453" t="s">
        <v>85</v>
      </c>
      <c r="L19" s="453" t="s">
        <v>86</v>
      </c>
      <c r="M19" s="454" t="s">
        <v>87</v>
      </c>
    </row>
    <row r="20" spans="1:13" s="446" customFormat="1" ht="11.25" x14ac:dyDescent="0.2">
      <c r="A20" s="455"/>
      <c r="B20" s="456" t="s">
        <v>88</v>
      </c>
      <c r="C20" s="456" t="s">
        <v>88</v>
      </c>
      <c r="D20" s="457" t="s">
        <v>53</v>
      </c>
      <c r="E20" s="458" t="s">
        <v>89</v>
      </c>
      <c r="F20" s="457" t="s">
        <v>90</v>
      </c>
      <c r="G20" s="458" t="s">
        <v>91</v>
      </c>
      <c r="H20" s="456" t="s">
        <v>89</v>
      </c>
      <c r="I20" s="457" t="s">
        <v>92</v>
      </c>
      <c r="J20" s="458" t="s">
        <v>78</v>
      </c>
      <c r="K20" s="456" t="s">
        <v>88</v>
      </c>
      <c r="L20" s="456" t="s">
        <v>88</v>
      </c>
      <c r="M20" s="459"/>
    </row>
    <row r="21" spans="1:13" ht="15" customHeight="1" x14ac:dyDescent="0.2">
      <c r="A21" s="461" t="s">
        <v>373</v>
      </c>
      <c r="B21" s="15"/>
      <c r="C21" s="36">
        <v>0</v>
      </c>
      <c r="D21" s="35" t="s">
        <v>94</v>
      </c>
      <c r="E21" s="41">
        <f t="shared" ref="E21:E62" si="0">IF(D21="","",VLOOKUP(D21,A$71:D$75,2,FALSE))</f>
        <v>0.5</v>
      </c>
      <c r="F21" s="25"/>
      <c r="G21" s="42">
        <f t="shared" ref="G21:G62" si="1">IF(D21="","",VLOOKUP(D21,A$71:D$75,3,FALSE))</f>
        <v>0.4</v>
      </c>
      <c r="H21" s="47">
        <f t="shared" ref="H21:H62" si="2">IF(D21="","",VLOOKUP(D21,A$71:D$75,4,FALSE))</f>
        <v>1</v>
      </c>
      <c r="I21" s="45">
        <f>IFERROR((C21/B21)*E21*(F21/G21)*H21,0)</f>
        <v>0</v>
      </c>
      <c r="J21" s="45">
        <f>SUM(I21:I23)</f>
        <v>0</v>
      </c>
      <c r="K21" s="46">
        <f>IF(J21&gt;=2%,B21,0)</f>
        <v>0</v>
      </c>
      <c r="L21" s="15"/>
      <c r="M21" s="16"/>
    </row>
    <row r="22" spans="1:13" ht="15" customHeight="1" x14ac:dyDescent="0.2">
      <c r="A22" s="234"/>
      <c r="B22" s="17"/>
      <c r="C22" s="33">
        <v>0</v>
      </c>
      <c r="D22" s="34" t="s">
        <v>94</v>
      </c>
      <c r="E22" s="42">
        <f t="shared" si="0"/>
        <v>0.5</v>
      </c>
      <c r="F22" s="26"/>
      <c r="G22" s="42">
        <f t="shared" si="1"/>
        <v>0.4</v>
      </c>
      <c r="H22" s="47">
        <f t="shared" si="2"/>
        <v>1</v>
      </c>
      <c r="I22" s="48">
        <f t="shared" ref="I22:I62" si="3">IFERROR((C22/B22)*E22*(F22/G22)*H22,0)</f>
        <v>0</v>
      </c>
      <c r="J22" s="48"/>
      <c r="K22" s="49"/>
      <c r="L22" s="17"/>
      <c r="M22" s="18"/>
    </row>
    <row r="23" spans="1:13" ht="15" customHeight="1" x14ac:dyDescent="0.2">
      <c r="A23" s="38"/>
      <c r="B23" s="19"/>
      <c r="C23" s="29">
        <v>0</v>
      </c>
      <c r="D23" s="30" t="s">
        <v>94</v>
      </c>
      <c r="E23" s="43">
        <f t="shared" si="0"/>
        <v>0.5</v>
      </c>
      <c r="F23" s="27"/>
      <c r="G23" s="43">
        <f t="shared" si="1"/>
        <v>0.4</v>
      </c>
      <c r="H23" s="50">
        <f t="shared" si="2"/>
        <v>1</v>
      </c>
      <c r="I23" s="51">
        <f t="shared" si="3"/>
        <v>0</v>
      </c>
      <c r="J23" s="51"/>
      <c r="K23" s="52"/>
      <c r="L23" s="19"/>
      <c r="M23" s="20"/>
    </row>
    <row r="24" spans="1:13" ht="15" customHeight="1" x14ac:dyDescent="0.2">
      <c r="A24" s="460" t="s">
        <v>95</v>
      </c>
      <c r="B24" s="21"/>
      <c r="C24" s="31">
        <v>0</v>
      </c>
      <c r="D24" s="32" t="s">
        <v>96</v>
      </c>
      <c r="E24" s="44">
        <f t="shared" si="0"/>
        <v>0.5</v>
      </c>
      <c r="F24" s="28"/>
      <c r="G24" s="44">
        <f t="shared" si="1"/>
        <v>0.4</v>
      </c>
      <c r="H24" s="53">
        <f t="shared" si="2"/>
        <v>1</v>
      </c>
      <c r="I24" s="54">
        <f t="shared" si="3"/>
        <v>0</v>
      </c>
      <c r="J24" s="54">
        <f>SUM(I24:I26)</f>
        <v>0</v>
      </c>
      <c r="K24" s="55">
        <f>IF(J24&gt;=2%,B24,0)</f>
        <v>0</v>
      </c>
      <c r="L24" s="21"/>
      <c r="M24" s="22"/>
    </row>
    <row r="25" spans="1:13" ht="15" customHeight="1" x14ac:dyDescent="0.2">
      <c r="A25" s="37"/>
      <c r="B25" s="17"/>
      <c r="C25" s="33">
        <v>0</v>
      </c>
      <c r="D25" s="34" t="s">
        <v>96</v>
      </c>
      <c r="E25" s="42">
        <f t="shared" si="0"/>
        <v>0.5</v>
      </c>
      <c r="F25" s="26"/>
      <c r="G25" s="42">
        <f t="shared" si="1"/>
        <v>0.4</v>
      </c>
      <c r="H25" s="47">
        <f t="shared" si="2"/>
        <v>1</v>
      </c>
      <c r="I25" s="48">
        <f t="shared" si="3"/>
        <v>0</v>
      </c>
      <c r="J25" s="48"/>
      <c r="K25" s="49"/>
      <c r="L25" s="17"/>
      <c r="M25" s="18"/>
    </row>
    <row r="26" spans="1:13" ht="15" customHeight="1" x14ac:dyDescent="0.2">
      <c r="A26" s="39"/>
      <c r="B26" s="19"/>
      <c r="C26" s="29">
        <v>0</v>
      </c>
      <c r="D26" s="30" t="s">
        <v>96</v>
      </c>
      <c r="E26" s="43">
        <f t="shared" si="0"/>
        <v>0.5</v>
      </c>
      <c r="F26" s="27"/>
      <c r="G26" s="43">
        <f t="shared" si="1"/>
        <v>0.4</v>
      </c>
      <c r="H26" s="50">
        <f t="shared" si="2"/>
        <v>1</v>
      </c>
      <c r="I26" s="51">
        <f t="shared" si="3"/>
        <v>0</v>
      </c>
      <c r="J26" s="51"/>
      <c r="K26" s="52"/>
      <c r="L26" s="23"/>
      <c r="M26" s="24"/>
    </row>
    <row r="27" spans="1:13" ht="15" customHeight="1" x14ac:dyDescent="0.2">
      <c r="A27" s="460" t="s">
        <v>97</v>
      </c>
      <c r="B27" s="21"/>
      <c r="C27" s="31">
        <v>0</v>
      </c>
      <c r="D27" s="32" t="s">
        <v>96</v>
      </c>
      <c r="E27" s="44">
        <f t="shared" si="0"/>
        <v>0.5</v>
      </c>
      <c r="F27" s="28"/>
      <c r="G27" s="44">
        <f t="shared" si="1"/>
        <v>0.4</v>
      </c>
      <c r="H27" s="53">
        <f t="shared" si="2"/>
        <v>1</v>
      </c>
      <c r="I27" s="54">
        <f t="shared" si="3"/>
        <v>0</v>
      </c>
      <c r="J27" s="54">
        <f>SUM(I27:I29)</f>
        <v>0</v>
      </c>
      <c r="K27" s="55">
        <f>IF(J27&gt;=2%,B27,0)</f>
        <v>0</v>
      </c>
      <c r="L27" s="21"/>
      <c r="M27" s="22"/>
    </row>
    <row r="28" spans="1:13" ht="15" customHeight="1" x14ac:dyDescent="0.2">
      <c r="A28" s="37"/>
      <c r="B28" s="17"/>
      <c r="C28" s="33">
        <v>0</v>
      </c>
      <c r="D28" s="34" t="s">
        <v>96</v>
      </c>
      <c r="E28" s="42">
        <f t="shared" si="0"/>
        <v>0.5</v>
      </c>
      <c r="F28" s="26"/>
      <c r="G28" s="42">
        <f t="shared" si="1"/>
        <v>0.4</v>
      </c>
      <c r="H28" s="47">
        <f t="shared" si="2"/>
        <v>1</v>
      </c>
      <c r="I28" s="48">
        <f t="shared" si="3"/>
        <v>0</v>
      </c>
      <c r="J28" s="48"/>
      <c r="K28" s="49"/>
      <c r="L28" s="17"/>
      <c r="M28" s="18"/>
    </row>
    <row r="29" spans="1:13" ht="15" customHeight="1" x14ac:dyDescent="0.2">
      <c r="A29" s="40"/>
      <c r="B29" s="19"/>
      <c r="C29" s="29">
        <v>0</v>
      </c>
      <c r="D29" s="30" t="s">
        <v>96</v>
      </c>
      <c r="E29" s="43">
        <f t="shared" si="0"/>
        <v>0.5</v>
      </c>
      <c r="F29" s="27"/>
      <c r="G29" s="43">
        <f t="shared" si="1"/>
        <v>0.4</v>
      </c>
      <c r="H29" s="50">
        <f t="shared" si="2"/>
        <v>1</v>
      </c>
      <c r="I29" s="51">
        <f t="shared" si="3"/>
        <v>0</v>
      </c>
      <c r="J29" s="51"/>
      <c r="K29" s="52"/>
      <c r="L29" s="23"/>
      <c r="M29" s="24"/>
    </row>
    <row r="30" spans="1:13" ht="15" customHeight="1" x14ac:dyDescent="0.2">
      <c r="A30" s="460" t="s">
        <v>98</v>
      </c>
      <c r="B30" s="21"/>
      <c r="C30" s="31">
        <v>0</v>
      </c>
      <c r="D30" s="32" t="s">
        <v>96</v>
      </c>
      <c r="E30" s="44">
        <f t="shared" si="0"/>
        <v>0.5</v>
      </c>
      <c r="F30" s="28"/>
      <c r="G30" s="44">
        <f t="shared" si="1"/>
        <v>0.4</v>
      </c>
      <c r="H30" s="53">
        <f t="shared" si="2"/>
        <v>1</v>
      </c>
      <c r="I30" s="54">
        <f t="shared" si="3"/>
        <v>0</v>
      </c>
      <c r="J30" s="54">
        <f>SUM(I30:I32)</f>
        <v>0</v>
      </c>
      <c r="K30" s="55">
        <f>IF(J30&gt;=2%,B30,0)</f>
        <v>0</v>
      </c>
      <c r="L30" s="21"/>
      <c r="M30" s="22"/>
    </row>
    <row r="31" spans="1:13" ht="15" customHeight="1" x14ac:dyDescent="0.2">
      <c r="A31" s="37"/>
      <c r="B31" s="17"/>
      <c r="C31" s="33">
        <v>0</v>
      </c>
      <c r="D31" s="34" t="s">
        <v>96</v>
      </c>
      <c r="E31" s="42">
        <f t="shared" si="0"/>
        <v>0.5</v>
      </c>
      <c r="F31" s="26"/>
      <c r="G31" s="42">
        <f t="shared" si="1"/>
        <v>0.4</v>
      </c>
      <c r="H31" s="47">
        <f t="shared" si="2"/>
        <v>1</v>
      </c>
      <c r="I31" s="48">
        <f t="shared" si="3"/>
        <v>0</v>
      </c>
      <c r="J31" s="48"/>
      <c r="K31" s="49"/>
      <c r="L31" s="17"/>
      <c r="M31" s="18"/>
    </row>
    <row r="32" spans="1:13" ht="15" customHeight="1" x14ac:dyDescent="0.2">
      <c r="A32" s="40"/>
      <c r="B32" s="19"/>
      <c r="C32" s="29">
        <v>0</v>
      </c>
      <c r="D32" s="30" t="s">
        <v>96</v>
      </c>
      <c r="E32" s="43">
        <f t="shared" si="0"/>
        <v>0.5</v>
      </c>
      <c r="F32" s="27"/>
      <c r="G32" s="43">
        <f t="shared" si="1"/>
        <v>0.4</v>
      </c>
      <c r="H32" s="50">
        <f t="shared" si="2"/>
        <v>1</v>
      </c>
      <c r="I32" s="51">
        <f t="shared" si="3"/>
        <v>0</v>
      </c>
      <c r="J32" s="51"/>
      <c r="K32" s="52"/>
      <c r="L32" s="23"/>
      <c r="M32" s="24"/>
    </row>
    <row r="33" spans="1:13" ht="15" customHeight="1" x14ac:dyDescent="0.2">
      <c r="A33" s="460" t="s">
        <v>99</v>
      </c>
      <c r="B33" s="21"/>
      <c r="C33" s="31">
        <v>0</v>
      </c>
      <c r="D33" s="32" t="s">
        <v>96</v>
      </c>
      <c r="E33" s="44">
        <f t="shared" si="0"/>
        <v>0.5</v>
      </c>
      <c r="F33" s="28"/>
      <c r="G33" s="44">
        <f t="shared" si="1"/>
        <v>0.4</v>
      </c>
      <c r="H33" s="53">
        <f t="shared" si="2"/>
        <v>1</v>
      </c>
      <c r="I33" s="54">
        <f t="shared" si="3"/>
        <v>0</v>
      </c>
      <c r="J33" s="54">
        <f>SUM(I33:I35)</f>
        <v>0</v>
      </c>
      <c r="K33" s="55">
        <f>IF(J33&gt;=2%,B33,0)</f>
        <v>0</v>
      </c>
      <c r="L33" s="21"/>
      <c r="M33" s="22"/>
    </row>
    <row r="34" spans="1:13" ht="15" customHeight="1" x14ac:dyDescent="0.2">
      <c r="A34" s="37"/>
      <c r="B34" s="17"/>
      <c r="C34" s="33">
        <v>0</v>
      </c>
      <c r="D34" s="34" t="s">
        <v>96</v>
      </c>
      <c r="E34" s="42">
        <f t="shared" si="0"/>
        <v>0.5</v>
      </c>
      <c r="F34" s="26"/>
      <c r="G34" s="42">
        <f t="shared" si="1"/>
        <v>0.4</v>
      </c>
      <c r="H34" s="47">
        <f t="shared" si="2"/>
        <v>1</v>
      </c>
      <c r="I34" s="48">
        <f t="shared" si="3"/>
        <v>0</v>
      </c>
      <c r="J34" s="48"/>
      <c r="K34" s="49"/>
      <c r="L34" s="17"/>
      <c r="M34" s="18"/>
    </row>
    <row r="35" spans="1:13" ht="15" customHeight="1" x14ac:dyDescent="0.2">
      <c r="A35" s="40"/>
      <c r="B35" s="19"/>
      <c r="C35" s="29">
        <v>0</v>
      </c>
      <c r="D35" s="30" t="s">
        <v>96</v>
      </c>
      <c r="E35" s="43">
        <f t="shared" si="0"/>
        <v>0.5</v>
      </c>
      <c r="F35" s="27"/>
      <c r="G35" s="43">
        <f t="shared" si="1"/>
        <v>0.4</v>
      </c>
      <c r="H35" s="50">
        <f t="shared" si="2"/>
        <v>1</v>
      </c>
      <c r="I35" s="51">
        <f t="shared" si="3"/>
        <v>0</v>
      </c>
      <c r="J35" s="51"/>
      <c r="K35" s="52"/>
      <c r="L35" s="23"/>
      <c r="M35" s="24"/>
    </row>
    <row r="36" spans="1:13" ht="15" customHeight="1" x14ac:dyDescent="0.2">
      <c r="A36" s="460" t="s">
        <v>100</v>
      </c>
      <c r="B36" s="21"/>
      <c r="C36" s="31">
        <v>0</v>
      </c>
      <c r="D36" s="32" t="s">
        <v>96</v>
      </c>
      <c r="E36" s="44">
        <f t="shared" si="0"/>
        <v>0.5</v>
      </c>
      <c r="F36" s="28"/>
      <c r="G36" s="44">
        <f t="shared" si="1"/>
        <v>0.4</v>
      </c>
      <c r="H36" s="53">
        <f t="shared" si="2"/>
        <v>1</v>
      </c>
      <c r="I36" s="54">
        <f t="shared" si="3"/>
        <v>0</v>
      </c>
      <c r="J36" s="54">
        <f>SUM(I36:I38)</f>
        <v>0</v>
      </c>
      <c r="K36" s="55">
        <f>IF(J36&gt;=2%,B36,0)</f>
        <v>0</v>
      </c>
      <c r="L36" s="21"/>
      <c r="M36" s="22"/>
    </row>
    <row r="37" spans="1:13" ht="15" customHeight="1" x14ac:dyDescent="0.2">
      <c r="A37" s="37"/>
      <c r="B37" s="17"/>
      <c r="C37" s="33">
        <v>0</v>
      </c>
      <c r="D37" s="34" t="s">
        <v>96</v>
      </c>
      <c r="E37" s="42">
        <f t="shared" si="0"/>
        <v>0.5</v>
      </c>
      <c r="F37" s="26"/>
      <c r="G37" s="42">
        <f t="shared" si="1"/>
        <v>0.4</v>
      </c>
      <c r="H37" s="47">
        <f t="shared" si="2"/>
        <v>1</v>
      </c>
      <c r="I37" s="48">
        <f t="shared" si="3"/>
        <v>0</v>
      </c>
      <c r="J37" s="48"/>
      <c r="K37" s="49"/>
      <c r="L37" s="17"/>
      <c r="M37" s="18"/>
    </row>
    <row r="38" spans="1:13" ht="15" customHeight="1" x14ac:dyDescent="0.2">
      <c r="A38" s="40"/>
      <c r="B38" s="19"/>
      <c r="C38" s="29">
        <v>0</v>
      </c>
      <c r="D38" s="30" t="s">
        <v>96</v>
      </c>
      <c r="E38" s="43">
        <f t="shared" si="0"/>
        <v>0.5</v>
      </c>
      <c r="F38" s="27"/>
      <c r="G38" s="43">
        <f t="shared" si="1"/>
        <v>0.4</v>
      </c>
      <c r="H38" s="50">
        <f t="shared" si="2"/>
        <v>1</v>
      </c>
      <c r="I38" s="51">
        <f t="shared" si="3"/>
        <v>0</v>
      </c>
      <c r="J38" s="51"/>
      <c r="K38" s="52"/>
      <c r="L38" s="23"/>
      <c r="M38" s="24"/>
    </row>
    <row r="39" spans="1:13" ht="15" customHeight="1" x14ac:dyDescent="0.2">
      <c r="A39" s="460" t="s">
        <v>101</v>
      </c>
      <c r="B39" s="21"/>
      <c r="C39" s="31">
        <v>0</v>
      </c>
      <c r="D39" s="32" t="s">
        <v>96</v>
      </c>
      <c r="E39" s="44">
        <f t="shared" si="0"/>
        <v>0.5</v>
      </c>
      <c r="F39" s="28"/>
      <c r="G39" s="44">
        <f t="shared" si="1"/>
        <v>0.4</v>
      </c>
      <c r="H39" s="53">
        <f t="shared" si="2"/>
        <v>1</v>
      </c>
      <c r="I39" s="54">
        <f t="shared" si="3"/>
        <v>0</v>
      </c>
      <c r="J39" s="54">
        <f>SUM(I39:I41)</f>
        <v>0</v>
      </c>
      <c r="K39" s="55">
        <f>IF(J39&gt;=2%,B39,0)</f>
        <v>0</v>
      </c>
      <c r="L39" s="21"/>
      <c r="M39" s="22"/>
    </row>
    <row r="40" spans="1:13" ht="15" customHeight="1" x14ac:dyDescent="0.2">
      <c r="A40" s="37"/>
      <c r="B40" s="17"/>
      <c r="C40" s="33">
        <v>0</v>
      </c>
      <c r="D40" s="34" t="s">
        <v>96</v>
      </c>
      <c r="E40" s="42">
        <f t="shared" si="0"/>
        <v>0.5</v>
      </c>
      <c r="F40" s="26"/>
      <c r="G40" s="42">
        <f t="shared" si="1"/>
        <v>0.4</v>
      </c>
      <c r="H40" s="47">
        <f t="shared" si="2"/>
        <v>1</v>
      </c>
      <c r="I40" s="48">
        <f t="shared" si="3"/>
        <v>0</v>
      </c>
      <c r="J40" s="48"/>
      <c r="K40" s="49"/>
      <c r="L40" s="17"/>
      <c r="M40" s="18"/>
    </row>
    <row r="41" spans="1:13" ht="15" customHeight="1" x14ac:dyDescent="0.2">
      <c r="A41" s="40"/>
      <c r="B41" s="19"/>
      <c r="C41" s="29">
        <v>0</v>
      </c>
      <c r="D41" s="30" t="s">
        <v>96</v>
      </c>
      <c r="E41" s="43">
        <f t="shared" si="0"/>
        <v>0.5</v>
      </c>
      <c r="F41" s="27"/>
      <c r="G41" s="43">
        <f t="shared" si="1"/>
        <v>0.4</v>
      </c>
      <c r="H41" s="50">
        <f t="shared" si="2"/>
        <v>1</v>
      </c>
      <c r="I41" s="51">
        <f t="shared" si="3"/>
        <v>0</v>
      </c>
      <c r="J41" s="51"/>
      <c r="K41" s="52"/>
      <c r="L41" s="23"/>
      <c r="M41" s="24"/>
    </row>
    <row r="42" spans="1:13" ht="15" customHeight="1" x14ac:dyDescent="0.2">
      <c r="A42" s="460" t="s">
        <v>102</v>
      </c>
      <c r="B42" s="21"/>
      <c r="C42" s="31">
        <v>0</v>
      </c>
      <c r="D42" s="35" t="s">
        <v>96</v>
      </c>
      <c r="E42" s="44">
        <f t="shared" si="0"/>
        <v>0.5</v>
      </c>
      <c r="F42" s="28"/>
      <c r="G42" s="44">
        <f t="shared" si="1"/>
        <v>0.4</v>
      </c>
      <c r="H42" s="53">
        <f t="shared" si="2"/>
        <v>1</v>
      </c>
      <c r="I42" s="54">
        <f t="shared" si="3"/>
        <v>0</v>
      </c>
      <c r="J42" s="54">
        <f>SUM(I42:I44)</f>
        <v>0</v>
      </c>
      <c r="K42" s="55">
        <f>IF(J42&gt;=2%,B42,0)</f>
        <v>0</v>
      </c>
      <c r="L42" s="21"/>
      <c r="M42" s="22"/>
    </row>
    <row r="43" spans="1:13" ht="15" customHeight="1" x14ac:dyDescent="0.2">
      <c r="A43" s="37"/>
      <c r="B43" s="17"/>
      <c r="C43" s="33">
        <v>0</v>
      </c>
      <c r="D43" s="34" t="s">
        <v>96</v>
      </c>
      <c r="E43" s="42">
        <f t="shared" si="0"/>
        <v>0.5</v>
      </c>
      <c r="F43" s="26"/>
      <c r="G43" s="42">
        <f t="shared" si="1"/>
        <v>0.4</v>
      </c>
      <c r="H43" s="47">
        <f t="shared" si="2"/>
        <v>1</v>
      </c>
      <c r="I43" s="48">
        <f t="shared" si="3"/>
        <v>0</v>
      </c>
      <c r="J43" s="48"/>
      <c r="K43" s="49"/>
      <c r="L43" s="17"/>
      <c r="M43" s="18"/>
    </row>
    <row r="44" spans="1:13" ht="15" customHeight="1" x14ac:dyDescent="0.2">
      <c r="A44" s="40"/>
      <c r="B44" s="19"/>
      <c r="C44" s="29">
        <v>0</v>
      </c>
      <c r="D44" s="30" t="s">
        <v>96</v>
      </c>
      <c r="E44" s="43">
        <f t="shared" si="0"/>
        <v>0.5</v>
      </c>
      <c r="F44" s="27"/>
      <c r="G44" s="43">
        <f t="shared" si="1"/>
        <v>0.4</v>
      </c>
      <c r="H44" s="50">
        <f t="shared" si="2"/>
        <v>1</v>
      </c>
      <c r="I44" s="51">
        <f t="shared" si="3"/>
        <v>0</v>
      </c>
      <c r="J44" s="51"/>
      <c r="K44" s="52"/>
      <c r="L44" s="23"/>
      <c r="M44" s="24"/>
    </row>
    <row r="45" spans="1:13" ht="15" customHeight="1" x14ac:dyDescent="0.2">
      <c r="A45" s="460" t="s">
        <v>103</v>
      </c>
      <c r="B45" s="21"/>
      <c r="C45" s="31">
        <v>0</v>
      </c>
      <c r="D45" s="35" t="s">
        <v>96</v>
      </c>
      <c r="E45" s="44">
        <f t="shared" si="0"/>
        <v>0.5</v>
      </c>
      <c r="F45" s="28"/>
      <c r="G45" s="44">
        <f t="shared" si="1"/>
        <v>0.4</v>
      </c>
      <c r="H45" s="53">
        <f t="shared" si="2"/>
        <v>1</v>
      </c>
      <c r="I45" s="54">
        <f t="shared" si="3"/>
        <v>0</v>
      </c>
      <c r="J45" s="54">
        <f>SUM(I45:I47)</f>
        <v>0</v>
      </c>
      <c r="K45" s="55">
        <f>IF(J45&gt;=2%,B45,0)</f>
        <v>0</v>
      </c>
      <c r="L45" s="21"/>
      <c r="M45" s="22"/>
    </row>
    <row r="46" spans="1:13" ht="15" customHeight="1" x14ac:dyDescent="0.2">
      <c r="A46" s="37"/>
      <c r="B46" s="17"/>
      <c r="C46" s="33">
        <v>0</v>
      </c>
      <c r="D46" s="34" t="s">
        <v>96</v>
      </c>
      <c r="E46" s="42">
        <f t="shared" si="0"/>
        <v>0.5</v>
      </c>
      <c r="F46" s="26"/>
      <c r="G46" s="42">
        <f t="shared" si="1"/>
        <v>0.4</v>
      </c>
      <c r="H46" s="47">
        <f t="shared" si="2"/>
        <v>1</v>
      </c>
      <c r="I46" s="48">
        <f t="shared" si="3"/>
        <v>0</v>
      </c>
      <c r="J46" s="48"/>
      <c r="K46" s="49"/>
      <c r="L46" s="17"/>
      <c r="M46" s="18"/>
    </row>
    <row r="47" spans="1:13" ht="15" customHeight="1" x14ac:dyDescent="0.2">
      <c r="A47" s="40"/>
      <c r="B47" s="19"/>
      <c r="C47" s="29">
        <v>0</v>
      </c>
      <c r="D47" s="30" t="s">
        <v>96</v>
      </c>
      <c r="E47" s="43">
        <f t="shared" si="0"/>
        <v>0.5</v>
      </c>
      <c r="F47" s="27"/>
      <c r="G47" s="43">
        <f t="shared" si="1"/>
        <v>0.4</v>
      </c>
      <c r="H47" s="50">
        <f t="shared" si="2"/>
        <v>1</v>
      </c>
      <c r="I47" s="51">
        <f t="shared" si="3"/>
        <v>0</v>
      </c>
      <c r="J47" s="51"/>
      <c r="K47" s="52"/>
      <c r="L47" s="23"/>
      <c r="M47" s="24"/>
    </row>
    <row r="48" spans="1:13" ht="15" customHeight="1" x14ac:dyDescent="0.2">
      <c r="A48" s="460" t="s">
        <v>42</v>
      </c>
      <c r="B48" s="21"/>
      <c r="C48" s="31">
        <v>0</v>
      </c>
      <c r="D48" s="35" t="s">
        <v>96</v>
      </c>
      <c r="E48" s="44">
        <f t="shared" si="0"/>
        <v>0.5</v>
      </c>
      <c r="F48" s="28"/>
      <c r="G48" s="44">
        <f t="shared" si="1"/>
        <v>0.4</v>
      </c>
      <c r="H48" s="53">
        <f t="shared" si="2"/>
        <v>1</v>
      </c>
      <c r="I48" s="54">
        <f t="shared" si="3"/>
        <v>0</v>
      </c>
      <c r="J48" s="54">
        <f>SUM(I48:I50)</f>
        <v>0</v>
      </c>
      <c r="K48" s="55">
        <f>IF(J48&gt;=2%,B48,0)</f>
        <v>0</v>
      </c>
      <c r="L48" s="21"/>
      <c r="M48" s="22"/>
    </row>
    <row r="49" spans="1:13" ht="15" customHeight="1" x14ac:dyDescent="0.2">
      <c r="A49" s="37"/>
      <c r="B49" s="17"/>
      <c r="C49" s="33">
        <v>0</v>
      </c>
      <c r="D49" s="34" t="s">
        <v>96</v>
      </c>
      <c r="E49" s="42">
        <f t="shared" si="0"/>
        <v>0.5</v>
      </c>
      <c r="F49" s="26"/>
      <c r="G49" s="42">
        <f t="shared" si="1"/>
        <v>0.4</v>
      </c>
      <c r="H49" s="47">
        <f t="shared" si="2"/>
        <v>1</v>
      </c>
      <c r="I49" s="48">
        <f t="shared" si="3"/>
        <v>0</v>
      </c>
      <c r="J49" s="48"/>
      <c r="K49" s="49"/>
      <c r="L49" s="17"/>
      <c r="M49" s="18"/>
    </row>
    <row r="50" spans="1:13" ht="15" customHeight="1" x14ac:dyDescent="0.2">
      <c r="A50" s="40"/>
      <c r="B50" s="19"/>
      <c r="C50" s="29">
        <v>0</v>
      </c>
      <c r="D50" s="30" t="s">
        <v>96</v>
      </c>
      <c r="E50" s="43">
        <f t="shared" si="0"/>
        <v>0.5</v>
      </c>
      <c r="F50" s="27"/>
      <c r="G50" s="43">
        <f t="shared" si="1"/>
        <v>0.4</v>
      </c>
      <c r="H50" s="50">
        <f t="shared" si="2"/>
        <v>1</v>
      </c>
      <c r="I50" s="51">
        <f t="shared" si="3"/>
        <v>0</v>
      </c>
      <c r="J50" s="51"/>
      <c r="K50" s="52"/>
      <c r="L50" s="23"/>
      <c r="M50" s="24"/>
    </row>
    <row r="51" spans="1:13" ht="15" customHeight="1" x14ac:dyDescent="0.2">
      <c r="A51" s="460" t="s">
        <v>104</v>
      </c>
      <c r="B51" s="21"/>
      <c r="C51" s="31">
        <v>0</v>
      </c>
      <c r="D51" s="35" t="s">
        <v>96</v>
      </c>
      <c r="E51" s="44">
        <f t="shared" si="0"/>
        <v>0.5</v>
      </c>
      <c r="F51" s="28"/>
      <c r="G51" s="44">
        <f t="shared" si="1"/>
        <v>0.4</v>
      </c>
      <c r="H51" s="53">
        <f t="shared" si="2"/>
        <v>1</v>
      </c>
      <c r="I51" s="54">
        <f t="shared" si="3"/>
        <v>0</v>
      </c>
      <c r="J51" s="54">
        <f>SUM(I51:I53)</f>
        <v>0</v>
      </c>
      <c r="K51" s="55">
        <f>IF(J51&gt;=2%,B51,0)</f>
        <v>0</v>
      </c>
      <c r="L51" s="21"/>
      <c r="M51" s="22"/>
    </row>
    <row r="52" spans="1:13" ht="15" customHeight="1" x14ac:dyDescent="0.2">
      <c r="A52" s="37"/>
      <c r="B52" s="17"/>
      <c r="C52" s="33">
        <v>0</v>
      </c>
      <c r="D52" s="34" t="s">
        <v>96</v>
      </c>
      <c r="E52" s="42">
        <f t="shared" si="0"/>
        <v>0.5</v>
      </c>
      <c r="F52" s="26"/>
      <c r="G52" s="42">
        <f t="shared" si="1"/>
        <v>0.4</v>
      </c>
      <c r="H52" s="47">
        <f t="shared" si="2"/>
        <v>1</v>
      </c>
      <c r="I52" s="48">
        <f t="shared" si="3"/>
        <v>0</v>
      </c>
      <c r="J52" s="48"/>
      <c r="K52" s="49"/>
      <c r="L52" s="17"/>
      <c r="M52" s="18"/>
    </row>
    <row r="53" spans="1:13" ht="15" customHeight="1" x14ac:dyDescent="0.2">
      <c r="A53" s="40"/>
      <c r="B53" s="19"/>
      <c r="C53" s="29">
        <v>0</v>
      </c>
      <c r="D53" s="30" t="s">
        <v>96</v>
      </c>
      <c r="E53" s="43">
        <f t="shared" si="0"/>
        <v>0.5</v>
      </c>
      <c r="F53" s="27"/>
      <c r="G53" s="43">
        <f t="shared" si="1"/>
        <v>0.4</v>
      </c>
      <c r="H53" s="50">
        <f t="shared" si="2"/>
        <v>1</v>
      </c>
      <c r="I53" s="51">
        <f t="shared" si="3"/>
        <v>0</v>
      </c>
      <c r="J53" s="51"/>
      <c r="K53" s="52"/>
      <c r="L53" s="23"/>
      <c r="M53" s="24"/>
    </row>
    <row r="54" spans="1:13" ht="15" customHeight="1" x14ac:dyDescent="0.2">
      <c r="A54" s="460" t="s">
        <v>105</v>
      </c>
      <c r="B54" s="21"/>
      <c r="C54" s="31">
        <v>0</v>
      </c>
      <c r="D54" s="35" t="s">
        <v>96</v>
      </c>
      <c r="E54" s="44">
        <f t="shared" si="0"/>
        <v>0.5</v>
      </c>
      <c r="F54" s="28"/>
      <c r="G54" s="44">
        <f t="shared" si="1"/>
        <v>0.4</v>
      </c>
      <c r="H54" s="53">
        <f t="shared" si="2"/>
        <v>1</v>
      </c>
      <c r="I54" s="54">
        <f t="shared" si="3"/>
        <v>0</v>
      </c>
      <c r="J54" s="54">
        <f>SUM(I54:I56)</f>
        <v>0</v>
      </c>
      <c r="K54" s="55">
        <f>IF(J54&gt;=2%,B54,0)</f>
        <v>0</v>
      </c>
      <c r="L54" s="21"/>
      <c r="M54" s="22"/>
    </row>
    <row r="55" spans="1:13" ht="15" customHeight="1" x14ac:dyDescent="0.2">
      <c r="A55" s="37"/>
      <c r="B55" s="17"/>
      <c r="C55" s="33">
        <v>0</v>
      </c>
      <c r="D55" s="34" t="s">
        <v>96</v>
      </c>
      <c r="E55" s="42">
        <f t="shared" si="0"/>
        <v>0.5</v>
      </c>
      <c r="F55" s="26"/>
      <c r="G55" s="42">
        <f t="shared" si="1"/>
        <v>0.4</v>
      </c>
      <c r="H55" s="47">
        <f t="shared" si="2"/>
        <v>1</v>
      </c>
      <c r="I55" s="48">
        <f t="shared" si="3"/>
        <v>0</v>
      </c>
      <c r="J55" s="48"/>
      <c r="K55" s="49"/>
      <c r="L55" s="17"/>
      <c r="M55" s="18"/>
    </row>
    <row r="56" spans="1:13" ht="15" customHeight="1" x14ac:dyDescent="0.2">
      <c r="A56" s="40"/>
      <c r="B56" s="19"/>
      <c r="C56" s="29">
        <v>0</v>
      </c>
      <c r="D56" s="30" t="s">
        <v>96</v>
      </c>
      <c r="E56" s="43">
        <f t="shared" si="0"/>
        <v>0.5</v>
      </c>
      <c r="F56" s="27"/>
      <c r="G56" s="43">
        <f t="shared" si="1"/>
        <v>0.4</v>
      </c>
      <c r="H56" s="50">
        <f t="shared" si="2"/>
        <v>1</v>
      </c>
      <c r="I56" s="51">
        <f t="shared" si="3"/>
        <v>0</v>
      </c>
      <c r="J56" s="51"/>
      <c r="K56" s="52"/>
      <c r="L56" s="23"/>
      <c r="M56" s="24"/>
    </row>
    <row r="57" spans="1:13" ht="15" customHeight="1" x14ac:dyDescent="0.2">
      <c r="A57" s="460" t="s">
        <v>106</v>
      </c>
      <c r="B57" s="21"/>
      <c r="C57" s="31">
        <v>0</v>
      </c>
      <c r="D57" s="35" t="s">
        <v>96</v>
      </c>
      <c r="E57" s="44">
        <f t="shared" si="0"/>
        <v>0.5</v>
      </c>
      <c r="F57" s="28"/>
      <c r="G57" s="44">
        <f t="shared" si="1"/>
        <v>0.4</v>
      </c>
      <c r="H57" s="53">
        <f t="shared" si="2"/>
        <v>1</v>
      </c>
      <c r="I57" s="54">
        <f t="shared" si="3"/>
        <v>0</v>
      </c>
      <c r="J57" s="54">
        <f>SUM(I57:I59)</f>
        <v>0</v>
      </c>
      <c r="K57" s="55">
        <f>IF(J57&gt;=2%,B57,0)</f>
        <v>0</v>
      </c>
      <c r="L57" s="21"/>
      <c r="M57" s="22"/>
    </row>
    <row r="58" spans="1:13" ht="15" customHeight="1" x14ac:dyDescent="0.2">
      <c r="A58" s="37"/>
      <c r="B58" s="17"/>
      <c r="C58" s="33">
        <v>0</v>
      </c>
      <c r="D58" s="34" t="s">
        <v>96</v>
      </c>
      <c r="E58" s="42">
        <f t="shared" si="0"/>
        <v>0.5</v>
      </c>
      <c r="F58" s="26"/>
      <c r="G58" s="42">
        <f t="shared" si="1"/>
        <v>0.4</v>
      </c>
      <c r="H58" s="47">
        <f t="shared" si="2"/>
        <v>1</v>
      </c>
      <c r="I58" s="48">
        <f t="shared" si="3"/>
        <v>0</v>
      </c>
      <c r="J58" s="48"/>
      <c r="K58" s="49"/>
      <c r="L58" s="17"/>
      <c r="M58" s="18"/>
    </row>
    <row r="59" spans="1:13" ht="15" customHeight="1" x14ac:dyDescent="0.2">
      <c r="A59" s="40"/>
      <c r="B59" s="19"/>
      <c r="C59" s="29">
        <v>0</v>
      </c>
      <c r="D59" s="30" t="s">
        <v>96</v>
      </c>
      <c r="E59" s="43">
        <f t="shared" si="0"/>
        <v>0.5</v>
      </c>
      <c r="F59" s="27"/>
      <c r="G59" s="43">
        <f t="shared" si="1"/>
        <v>0.4</v>
      </c>
      <c r="H59" s="50">
        <f t="shared" si="2"/>
        <v>1</v>
      </c>
      <c r="I59" s="51">
        <f t="shared" si="3"/>
        <v>0</v>
      </c>
      <c r="J59" s="51"/>
      <c r="K59" s="52"/>
      <c r="L59" s="23"/>
      <c r="M59" s="24"/>
    </row>
    <row r="60" spans="1:13" ht="15" customHeight="1" x14ac:dyDescent="0.2">
      <c r="A60" s="460" t="s">
        <v>107</v>
      </c>
      <c r="B60" s="21"/>
      <c r="C60" s="31">
        <v>0</v>
      </c>
      <c r="D60" s="35" t="s">
        <v>96</v>
      </c>
      <c r="E60" s="44">
        <f t="shared" si="0"/>
        <v>0.5</v>
      </c>
      <c r="F60" s="28"/>
      <c r="G60" s="44">
        <f t="shared" si="1"/>
        <v>0.4</v>
      </c>
      <c r="H60" s="53">
        <f t="shared" si="2"/>
        <v>1</v>
      </c>
      <c r="I60" s="54">
        <f t="shared" si="3"/>
        <v>0</v>
      </c>
      <c r="J60" s="54">
        <f>SUM(I60:I62)</f>
        <v>0</v>
      </c>
      <c r="K60" s="55">
        <f>IF(J60&gt;=2%,B60,0)</f>
        <v>0</v>
      </c>
      <c r="L60" s="21"/>
      <c r="M60" s="22"/>
    </row>
    <row r="61" spans="1:13" ht="15" customHeight="1" x14ac:dyDescent="0.2">
      <c r="A61" s="37"/>
      <c r="B61" s="17"/>
      <c r="C61" s="33">
        <v>0</v>
      </c>
      <c r="D61" s="34" t="s">
        <v>96</v>
      </c>
      <c r="E61" s="42">
        <f t="shared" si="0"/>
        <v>0.5</v>
      </c>
      <c r="F61" s="26"/>
      <c r="G61" s="42">
        <f t="shared" si="1"/>
        <v>0.4</v>
      </c>
      <c r="H61" s="47">
        <f t="shared" si="2"/>
        <v>1</v>
      </c>
      <c r="I61" s="48">
        <f t="shared" si="3"/>
        <v>0</v>
      </c>
      <c r="J61" s="48"/>
      <c r="K61" s="49"/>
      <c r="L61" s="17"/>
      <c r="M61" s="18"/>
    </row>
    <row r="62" spans="1:13" ht="15" customHeight="1" x14ac:dyDescent="0.2">
      <c r="A62" s="38"/>
      <c r="B62" s="19"/>
      <c r="C62" s="29">
        <v>0</v>
      </c>
      <c r="D62" s="30" t="s">
        <v>96</v>
      </c>
      <c r="E62" s="43">
        <f t="shared" si="0"/>
        <v>0.5</v>
      </c>
      <c r="F62" s="27"/>
      <c r="G62" s="43">
        <f t="shared" si="1"/>
        <v>0.4</v>
      </c>
      <c r="H62" s="50">
        <f t="shared" si="2"/>
        <v>1</v>
      </c>
      <c r="I62" s="51">
        <f t="shared" si="3"/>
        <v>0</v>
      </c>
      <c r="J62" s="51"/>
      <c r="K62" s="52"/>
      <c r="L62" s="19"/>
      <c r="M62" s="20"/>
    </row>
    <row r="63" spans="1:13" ht="20.100000000000001" customHeight="1" thickBot="1" x14ac:dyDescent="0.25">
      <c r="A63" s="447" t="s">
        <v>44</v>
      </c>
      <c r="B63" s="56">
        <f>SUM(B21:B62)</f>
        <v>0</v>
      </c>
      <c r="C63" s="448"/>
      <c r="D63" s="448"/>
      <c r="E63" s="448"/>
      <c r="F63" s="448"/>
      <c r="G63" s="448"/>
      <c r="H63" s="448"/>
      <c r="I63" s="448"/>
      <c r="J63" s="448"/>
      <c r="K63" s="57">
        <f>SUM(K21:K62)</f>
        <v>0</v>
      </c>
      <c r="L63" s="57">
        <f>SUM(L21:L62)</f>
        <v>0</v>
      </c>
      <c r="M63" s="449"/>
    </row>
    <row r="64" spans="1:13" ht="20.100000000000001" customHeight="1" thickBot="1" x14ac:dyDescent="0.25">
      <c r="A64" s="450"/>
      <c r="B64" s="450"/>
      <c r="C64" s="450"/>
      <c r="D64" s="450"/>
      <c r="E64" s="450"/>
      <c r="F64" s="450"/>
      <c r="G64" s="450"/>
      <c r="H64" s="450"/>
      <c r="I64" s="450"/>
      <c r="J64" s="450"/>
      <c r="K64" s="450"/>
      <c r="L64" s="450"/>
      <c r="M64" s="450"/>
    </row>
    <row r="65" spans="1:13" ht="25.5" customHeight="1" thickBot="1" x14ac:dyDescent="0.25">
      <c r="A65" s="911" t="s">
        <v>371</v>
      </c>
      <c r="B65" s="912"/>
      <c r="C65" s="912"/>
      <c r="D65" s="912"/>
      <c r="E65" s="912"/>
      <c r="F65" s="912"/>
      <c r="G65" s="912"/>
      <c r="H65" s="912"/>
      <c r="I65" s="912"/>
      <c r="J65" s="913"/>
      <c r="K65" s="915">
        <f>IFERROR(K63/B63,0)</f>
        <v>0</v>
      </c>
      <c r="L65" s="916"/>
      <c r="M65" s="917"/>
    </row>
    <row r="66" spans="1:13" ht="29.25" customHeight="1" thickBot="1" x14ac:dyDescent="0.25">
      <c r="A66" s="918" t="s">
        <v>372</v>
      </c>
      <c r="B66" s="919"/>
      <c r="C66" s="919"/>
      <c r="D66" s="919"/>
      <c r="E66" s="919"/>
      <c r="F66" s="919"/>
      <c r="G66" s="919"/>
      <c r="H66" s="919"/>
      <c r="I66" s="919"/>
      <c r="J66" s="919"/>
      <c r="K66" s="920">
        <f>IFERROR(L63/B63,0)</f>
        <v>0</v>
      </c>
      <c r="L66" s="921"/>
      <c r="M66" s="922"/>
    </row>
    <row r="67" spans="1:13" ht="20.100000000000001" customHeight="1" x14ac:dyDescent="0.2">
      <c r="A67" s="923"/>
      <c r="B67" s="923"/>
      <c r="C67" s="923"/>
      <c r="D67" s="923"/>
      <c r="E67" s="923"/>
      <c r="F67" s="923"/>
      <c r="G67" s="923"/>
      <c r="H67" s="923"/>
      <c r="I67" s="923"/>
      <c r="J67" s="923"/>
      <c r="K67" s="923"/>
      <c r="L67" s="923"/>
      <c r="M67" s="923"/>
    </row>
    <row r="68" spans="1:13" x14ac:dyDescent="0.2">
      <c r="A68" s="914"/>
      <c r="B68" s="914"/>
      <c r="C68" s="914"/>
      <c r="D68" s="914"/>
      <c r="E68" s="914"/>
      <c r="F68" s="914"/>
      <c r="G68" s="914"/>
      <c r="H68" s="914"/>
      <c r="I68" s="914"/>
      <c r="J68" s="914"/>
      <c r="K68" s="914"/>
      <c r="L68" s="914"/>
      <c r="M68" s="914"/>
    </row>
    <row r="69" spans="1:13" hidden="1" x14ac:dyDescent="0.2">
      <c r="B69" s="444" t="s">
        <v>108</v>
      </c>
      <c r="C69" s="444" t="s">
        <v>109</v>
      </c>
      <c r="D69" s="444" t="s">
        <v>110</v>
      </c>
    </row>
    <row r="70" spans="1:13" hidden="1" x14ac:dyDescent="0.2"/>
    <row r="71" spans="1:13" hidden="1" x14ac:dyDescent="0.2">
      <c r="A71" s="444" t="s">
        <v>93</v>
      </c>
      <c r="B71" s="451">
        <v>0.1</v>
      </c>
      <c r="C71" s="451">
        <v>0.7</v>
      </c>
      <c r="D71" s="451">
        <v>1.4</v>
      </c>
      <c r="I71" s="451"/>
      <c r="J71" s="451"/>
      <c r="K71" s="451"/>
    </row>
    <row r="72" spans="1:13" hidden="1" x14ac:dyDescent="0.2">
      <c r="A72" s="444" t="s">
        <v>111</v>
      </c>
      <c r="B72" s="451">
        <v>0.1</v>
      </c>
      <c r="C72" s="451">
        <v>0.4</v>
      </c>
      <c r="D72" s="451">
        <v>0.8</v>
      </c>
    </row>
    <row r="73" spans="1:13" hidden="1" x14ac:dyDescent="0.2">
      <c r="A73" s="444" t="s">
        <v>112</v>
      </c>
      <c r="B73" s="451">
        <v>0.2</v>
      </c>
      <c r="C73" s="451">
        <v>0.4</v>
      </c>
      <c r="D73" s="451">
        <v>1</v>
      </c>
    </row>
    <row r="74" spans="1:13" hidden="1" x14ac:dyDescent="0.2">
      <c r="A74" s="444" t="s">
        <v>113</v>
      </c>
      <c r="B74" s="451">
        <v>0.33</v>
      </c>
      <c r="C74" s="451">
        <v>0.4</v>
      </c>
      <c r="D74" s="451">
        <v>1</v>
      </c>
    </row>
    <row r="75" spans="1:13" hidden="1" x14ac:dyDescent="0.2">
      <c r="A75" s="444" t="s">
        <v>94</v>
      </c>
      <c r="B75" s="451">
        <v>0.5</v>
      </c>
      <c r="C75" s="451">
        <v>0.4</v>
      </c>
      <c r="D75" s="451">
        <v>1</v>
      </c>
    </row>
  </sheetData>
  <sheetProtection insertRows="0" deleteRows="0" selectLockedCells="1"/>
  <mergeCells count="55">
    <mergeCell ref="D19:E19"/>
    <mergeCell ref="F19:G19"/>
    <mergeCell ref="I19:J19"/>
    <mergeCell ref="A65:J65"/>
    <mergeCell ref="A68:M68"/>
    <mergeCell ref="K65:M65"/>
    <mergeCell ref="A66:J66"/>
    <mergeCell ref="K66:M66"/>
    <mergeCell ref="A67:M67"/>
    <mergeCell ref="K14:K15"/>
    <mergeCell ref="L14:M15"/>
    <mergeCell ref="A17:M17"/>
    <mergeCell ref="A18:M18"/>
    <mergeCell ref="F14:F15"/>
    <mergeCell ref="G14:H15"/>
    <mergeCell ref="I14:I15"/>
    <mergeCell ref="J14:J15"/>
    <mergeCell ref="J12:J13"/>
    <mergeCell ref="K12:K13"/>
    <mergeCell ref="L12:M13"/>
    <mergeCell ref="B13:D13"/>
    <mergeCell ref="B12:D12"/>
    <mergeCell ref="F12:F13"/>
    <mergeCell ref="G12:H13"/>
    <mergeCell ref="I12:I13"/>
    <mergeCell ref="J10:J11"/>
    <mergeCell ref="K10:K11"/>
    <mergeCell ref="L10:M11"/>
    <mergeCell ref="B11:D11"/>
    <mergeCell ref="B10:D10"/>
    <mergeCell ref="F10:F11"/>
    <mergeCell ref="G10:H11"/>
    <mergeCell ref="I10:I11"/>
    <mergeCell ref="J8:J9"/>
    <mergeCell ref="K8:K9"/>
    <mergeCell ref="L8:M9"/>
    <mergeCell ref="B9:D9"/>
    <mergeCell ref="B8:D8"/>
    <mergeCell ref="F8:F9"/>
    <mergeCell ref="G8:H9"/>
    <mergeCell ref="I8:I9"/>
    <mergeCell ref="J6:J7"/>
    <mergeCell ref="K6:K7"/>
    <mergeCell ref="L6:M7"/>
    <mergeCell ref="B7:D7"/>
    <mergeCell ref="B6:D6"/>
    <mergeCell ref="F6:F7"/>
    <mergeCell ref="G6:H7"/>
    <mergeCell ref="I6:I7"/>
    <mergeCell ref="A1:M1"/>
    <mergeCell ref="A2:M2"/>
    <mergeCell ref="A4:D4"/>
    <mergeCell ref="B5:D5"/>
    <mergeCell ref="F5:H5"/>
    <mergeCell ref="L5:M5"/>
  </mergeCells>
  <phoneticPr fontId="37" type="noConversion"/>
  <dataValidations disablePrompts="1" count="1">
    <dataValidation type="list" allowBlank="1" showInputMessage="1" showErrorMessage="1" sqref="D21:D62">
      <formula1>$A$71:$A$75</formula1>
    </dataValidation>
  </dataValidations>
  <pageMargins left="0.75" right="0.75" top="1" bottom="1" header="0.5" footer="0.5"/>
  <pageSetup scale="72" orientation="portrait" r:id="rId1"/>
  <headerFooter alignWithMargins="0">
    <oddFooter>&amp;C&amp;9State of Tennessee HPBr 5/18/18&amp;RPage &amp;P of &amp;N</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48"/>
  <sheetViews>
    <sheetView zoomScale="70" zoomScaleNormal="70" workbookViewId="0">
      <selection activeCell="M16" sqref="M16"/>
    </sheetView>
  </sheetViews>
  <sheetFormatPr defaultColWidth="9.140625" defaultRowHeight="15" x14ac:dyDescent="0.25"/>
  <cols>
    <col min="1" max="1" width="73.85546875" style="490" bestFit="1" customWidth="1"/>
    <col min="2" max="2" width="12.85546875" style="490" customWidth="1"/>
    <col min="3" max="3" width="10" style="490" customWidth="1"/>
    <col min="4" max="4" width="27" style="492" bestFit="1" customWidth="1"/>
    <col min="5" max="5" width="14.85546875" style="490" customWidth="1"/>
    <col min="6" max="11" width="13.5703125" style="490" customWidth="1"/>
    <col min="12" max="12" width="14" style="490" bestFit="1" customWidth="1"/>
    <col min="13" max="13" width="37" style="490" bestFit="1" customWidth="1"/>
    <col min="14" max="14" width="27.140625" style="490" customWidth="1"/>
    <col min="15" max="15" width="19.5703125" style="490" bestFit="1" customWidth="1"/>
    <col min="16" max="17" width="13.7109375" style="495" customWidth="1"/>
    <col min="18" max="18" width="14" style="490" bestFit="1" customWidth="1"/>
    <col min="19" max="19" width="9.140625" style="490"/>
    <col min="20" max="20" width="19.28515625" style="490" bestFit="1" customWidth="1"/>
    <col min="21" max="23" width="9.140625" style="490"/>
    <col min="24" max="24" width="27.5703125" style="490" bestFit="1" customWidth="1"/>
    <col min="25" max="30" width="9.140625" style="490"/>
    <col min="31" max="31" width="10.7109375" style="490" bestFit="1" customWidth="1"/>
    <col min="32" max="32" width="9.140625" style="490" customWidth="1"/>
    <col min="33" max="37" width="11.85546875" style="490" customWidth="1"/>
    <col min="38" max="38" width="12" style="495" customWidth="1"/>
    <col min="39" max="39" width="12.7109375" style="495" bestFit="1" customWidth="1"/>
    <col min="40" max="40" width="10.85546875" style="495" customWidth="1"/>
    <col min="41" max="41" width="12.7109375" style="495" bestFit="1" customWidth="1"/>
    <col min="42" max="42" width="11.7109375" style="495" bestFit="1" customWidth="1"/>
    <col min="43" max="44" width="10.5703125" style="495" bestFit="1" customWidth="1"/>
    <col min="45" max="16384" width="9.140625" style="490"/>
  </cols>
  <sheetData>
    <row r="1" spans="1:19" ht="45" x14ac:dyDescent="0.25">
      <c r="A1" s="537" t="s">
        <v>743</v>
      </c>
      <c r="B1" s="504" t="s">
        <v>726</v>
      </c>
      <c r="C1" s="505" t="s">
        <v>681</v>
      </c>
      <c r="D1" s="505" t="s">
        <v>746</v>
      </c>
      <c r="E1" s="505" t="s">
        <v>741</v>
      </c>
      <c r="F1" s="505" t="s">
        <v>742</v>
      </c>
      <c r="G1" s="505" t="s">
        <v>777</v>
      </c>
      <c r="H1" s="505" t="s">
        <v>765</v>
      </c>
      <c r="I1" s="505" t="s">
        <v>766</v>
      </c>
      <c r="J1" s="505" t="s">
        <v>767</v>
      </c>
      <c r="K1" s="505" t="s">
        <v>768</v>
      </c>
      <c r="L1" s="489"/>
      <c r="M1" s="537" t="s">
        <v>740</v>
      </c>
      <c r="N1" s="538" t="s">
        <v>741</v>
      </c>
      <c r="O1" s="538" t="s">
        <v>742</v>
      </c>
      <c r="Q1" s="595" t="s">
        <v>719</v>
      </c>
      <c r="R1" s="596"/>
      <c r="S1" s="489"/>
    </row>
    <row r="2" spans="1:19" x14ac:dyDescent="0.25">
      <c r="A2" s="508" t="s">
        <v>597</v>
      </c>
      <c r="B2" s="496">
        <v>77</v>
      </c>
      <c r="C2" s="510">
        <v>0.7</v>
      </c>
      <c r="D2" s="536" t="s">
        <v>728</v>
      </c>
      <c r="E2" s="506">
        <f t="shared" ref="E2:E48" si="0">INDEX($M$1:$O$14,MATCH($D2,$M$1:$M$14,0),MATCH("GSF/Employee",$M$1:$O$1,0))</f>
        <v>250</v>
      </c>
      <c r="F2" s="506">
        <f t="shared" ref="F2:F48" si="1">INDEX($M$1:$O$14,MATCH($D2,$M$1:$M$14,0),MATCH("GSF/Transient",$M$1:$O$1,0))</f>
        <v>0</v>
      </c>
      <c r="G2" s="506">
        <v>250</v>
      </c>
      <c r="H2" s="510">
        <v>0</v>
      </c>
      <c r="I2" s="510">
        <v>0</v>
      </c>
      <c r="J2" s="510">
        <v>0</v>
      </c>
      <c r="K2" s="510">
        <v>0</v>
      </c>
      <c r="M2" s="539" t="s">
        <v>728</v>
      </c>
      <c r="N2" s="540">
        <v>250</v>
      </c>
      <c r="O2" s="540">
        <v>0</v>
      </c>
      <c r="Q2" s="597">
        <v>0.03</v>
      </c>
      <c r="R2" s="598">
        <v>1</v>
      </c>
    </row>
    <row r="3" spans="1:19" x14ac:dyDescent="0.25">
      <c r="A3" s="508" t="s">
        <v>598</v>
      </c>
      <c r="B3" s="497">
        <v>118</v>
      </c>
      <c r="C3" s="510">
        <v>0.7</v>
      </c>
      <c r="D3" s="536" t="s">
        <v>728</v>
      </c>
      <c r="E3" s="506">
        <f t="shared" si="0"/>
        <v>250</v>
      </c>
      <c r="F3" s="506">
        <f t="shared" si="1"/>
        <v>0</v>
      </c>
      <c r="G3" s="506">
        <v>250</v>
      </c>
      <c r="H3" s="510">
        <v>0</v>
      </c>
      <c r="I3" s="510">
        <v>0</v>
      </c>
      <c r="J3" s="510">
        <v>0</v>
      </c>
      <c r="K3" s="510">
        <v>0</v>
      </c>
      <c r="M3" s="539" t="s">
        <v>727</v>
      </c>
      <c r="N3" s="540">
        <v>550</v>
      </c>
      <c r="O3" s="540">
        <v>130</v>
      </c>
      <c r="Q3" s="597">
        <v>0.06</v>
      </c>
      <c r="R3" s="598">
        <v>2</v>
      </c>
    </row>
    <row r="4" spans="1:19" x14ac:dyDescent="0.25">
      <c r="A4" s="508" t="s">
        <v>599</v>
      </c>
      <c r="B4" s="497">
        <v>120</v>
      </c>
      <c r="C4" s="510">
        <v>0.54</v>
      </c>
      <c r="D4" s="536" t="s">
        <v>739</v>
      </c>
      <c r="E4" s="506">
        <f t="shared" si="0"/>
        <v>2100</v>
      </c>
      <c r="F4" s="506">
        <f t="shared" si="1"/>
        <v>150</v>
      </c>
      <c r="G4" s="506">
        <v>180</v>
      </c>
      <c r="H4" s="510">
        <v>0.25</v>
      </c>
      <c r="I4" s="510">
        <v>0</v>
      </c>
      <c r="J4" s="510">
        <v>0.75</v>
      </c>
      <c r="K4" s="510">
        <v>0</v>
      </c>
      <c r="M4" s="539" t="s">
        <v>729</v>
      </c>
      <c r="N4" s="540">
        <v>600</v>
      </c>
      <c r="O4" s="540">
        <v>130</v>
      </c>
      <c r="Q4" s="597">
        <v>0.09</v>
      </c>
      <c r="R4" s="598">
        <v>3</v>
      </c>
    </row>
    <row r="5" spans="1:19" x14ac:dyDescent="0.25">
      <c r="A5" s="508" t="s">
        <v>600</v>
      </c>
      <c r="B5" s="497">
        <v>76</v>
      </c>
      <c r="C5" s="510">
        <v>0.54</v>
      </c>
      <c r="D5" s="536" t="s">
        <v>738</v>
      </c>
      <c r="E5" s="506">
        <f t="shared" si="0"/>
        <v>1300</v>
      </c>
      <c r="F5" s="506">
        <f t="shared" si="1"/>
        <v>140</v>
      </c>
      <c r="G5" s="506">
        <v>180</v>
      </c>
      <c r="H5" s="510">
        <v>0.25</v>
      </c>
      <c r="I5" s="510">
        <v>0</v>
      </c>
      <c r="J5" s="510">
        <v>0.75</v>
      </c>
      <c r="K5" s="510">
        <v>0</v>
      </c>
      <c r="M5" s="539" t="s">
        <v>730</v>
      </c>
      <c r="N5" s="540">
        <v>435</v>
      </c>
      <c r="O5" s="540">
        <v>95</v>
      </c>
      <c r="Q5" s="597">
        <v>0.12</v>
      </c>
      <c r="R5" s="598">
        <v>4</v>
      </c>
    </row>
    <row r="6" spans="1:19" x14ac:dyDescent="0.25">
      <c r="A6" s="508" t="s">
        <v>601</v>
      </c>
      <c r="B6" s="497">
        <v>75</v>
      </c>
      <c r="C6" s="510">
        <v>0.54</v>
      </c>
      <c r="D6" s="536" t="s">
        <v>738</v>
      </c>
      <c r="E6" s="506">
        <f t="shared" si="0"/>
        <v>1300</v>
      </c>
      <c r="F6" s="506">
        <f t="shared" si="1"/>
        <v>140</v>
      </c>
      <c r="G6" s="506">
        <v>180</v>
      </c>
      <c r="H6" s="510">
        <v>0.25</v>
      </c>
      <c r="I6" s="510">
        <v>0</v>
      </c>
      <c r="J6" s="510">
        <v>0.75</v>
      </c>
      <c r="K6" s="510">
        <v>0</v>
      </c>
      <c r="M6" s="539" t="s">
        <v>731</v>
      </c>
      <c r="N6" s="540">
        <v>550</v>
      </c>
      <c r="O6" s="540">
        <v>115</v>
      </c>
      <c r="Q6" s="597">
        <v>0.15</v>
      </c>
      <c r="R6" s="598">
        <v>5</v>
      </c>
    </row>
    <row r="7" spans="1:19" x14ac:dyDescent="0.25">
      <c r="A7" s="508" t="s">
        <v>602</v>
      </c>
      <c r="B7" s="497">
        <v>241</v>
      </c>
      <c r="C7" s="510">
        <v>0.79</v>
      </c>
      <c r="D7" s="536" t="s">
        <v>731</v>
      </c>
      <c r="E7" s="506">
        <f t="shared" si="0"/>
        <v>550</v>
      </c>
      <c r="F7" s="506">
        <f t="shared" si="1"/>
        <v>115</v>
      </c>
      <c r="G7" s="506">
        <v>365</v>
      </c>
      <c r="H7" s="510">
        <v>0.25</v>
      </c>
      <c r="I7" s="510">
        <v>0.75</v>
      </c>
      <c r="J7" s="510">
        <v>0</v>
      </c>
      <c r="K7" s="510">
        <v>0</v>
      </c>
      <c r="M7" s="539" t="s">
        <v>732</v>
      </c>
      <c r="N7" s="540">
        <v>225</v>
      </c>
      <c r="O7" s="540">
        <v>330</v>
      </c>
      <c r="Q7" s="597">
        <v>0.18</v>
      </c>
      <c r="R7" s="598">
        <v>6</v>
      </c>
    </row>
    <row r="8" spans="1:19" x14ac:dyDescent="0.25">
      <c r="A8" s="508" t="s">
        <v>603</v>
      </c>
      <c r="B8" s="497">
        <v>225</v>
      </c>
      <c r="C8" s="510">
        <v>0.79</v>
      </c>
      <c r="D8" s="536" t="s">
        <v>731</v>
      </c>
      <c r="E8" s="506">
        <f t="shared" si="0"/>
        <v>550</v>
      </c>
      <c r="F8" s="506">
        <f t="shared" si="1"/>
        <v>115</v>
      </c>
      <c r="G8" s="506">
        <v>365</v>
      </c>
      <c r="H8" s="510">
        <v>0.25</v>
      </c>
      <c r="I8" s="510">
        <v>0.75</v>
      </c>
      <c r="J8" s="510">
        <v>0</v>
      </c>
      <c r="K8" s="510">
        <v>0</v>
      </c>
      <c r="M8" s="539" t="s">
        <v>733</v>
      </c>
      <c r="N8" s="540">
        <v>400</v>
      </c>
      <c r="O8" s="540">
        <v>0</v>
      </c>
      <c r="Q8" s="597">
        <v>0.21</v>
      </c>
      <c r="R8" s="598">
        <v>7</v>
      </c>
    </row>
    <row r="9" spans="1:19" ht="15.75" thickBot="1" x14ac:dyDescent="0.3">
      <c r="A9" s="508" t="s">
        <v>604</v>
      </c>
      <c r="B9" s="497">
        <v>213</v>
      </c>
      <c r="C9" s="510">
        <v>0.79</v>
      </c>
      <c r="D9" s="536" t="s">
        <v>731</v>
      </c>
      <c r="E9" s="506">
        <f t="shared" si="0"/>
        <v>550</v>
      </c>
      <c r="F9" s="506">
        <f t="shared" si="1"/>
        <v>115</v>
      </c>
      <c r="G9" s="506">
        <v>365</v>
      </c>
      <c r="H9" s="510">
        <v>0.25</v>
      </c>
      <c r="I9" s="510">
        <v>0.75</v>
      </c>
      <c r="J9" s="510">
        <v>0</v>
      </c>
      <c r="K9" s="510">
        <v>0</v>
      </c>
      <c r="M9" s="539" t="s">
        <v>734</v>
      </c>
      <c r="N9" s="540">
        <v>2500</v>
      </c>
      <c r="O9" s="540">
        <v>0</v>
      </c>
      <c r="Q9" s="599">
        <v>0.24</v>
      </c>
      <c r="R9" s="600">
        <v>8</v>
      </c>
    </row>
    <row r="10" spans="1:19" x14ac:dyDescent="0.25">
      <c r="A10" s="508" t="s">
        <v>605</v>
      </c>
      <c r="B10" s="497">
        <v>534</v>
      </c>
      <c r="C10" s="510">
        <v>0.54</v>
      </c>
      <c r="D10" s="536" t="s">
        <v>730</v>
      </c>
      <c r="E10" s="506">
        <f t="shared" si="0"/>
        <v>435</v>
      </c>
      <c r="F10" s="506">
        <f t="shared" si="1"/>
        <v>95</v>
      </c>
      <c r="G10" s="506">
        <v>365</v>
      </c>
      <c r="H10" s="510">
        <v>0.25</v>
      </c>
      <c r="I10" s="510">
        <v>0.75</v>
      </c>
      <c r="J10" s="510">
        <v>0</v>
      </c>
      <c r="K10" s="510">
        <v>0</v>
      </c>
      <c r="M10" s="539" t="s">
        <v>735</v>
      </c>
      <c r="N10" s="540">
        <v>20000</v>
      </c>
      <c r="O10" s="540">
        <v>0</v>
      </c>
    </row>
    <row r="11" spans="1:19" x14ac:dyDescent="0.25">
      <c r="A11" s="508" t="s">
        <v>606</v>
      </c>
      <c r="B11" s="497">
        <v>351</v>
      </c>
      <c r="C11" s="510">
        <v>0.54</v>
      </c>
      <c r="D11" s="536" t="s">
        <v>730</v>
      </c>
      <c r="E11" s="506">
        <f t="shared" si="0"/>
        <v>435</v>
      </c>
      <c r="F11" s="506">
        <f t="shared" si="1"/>
        <v>95</v>
      </c>
      <c r="G11" s="506">
        <v>365</v>
      </c>
      <c r="H11" s="510">
        <v>0.25</v>
      </c>
      <c r="I11" s="510">
        <v>0.75</v>
      </c>
      <c r="J11" s="510">
        <v>0</v>
      </c>
      <c r="K11" s="510">
        <v>0</v>
      </c>
      <c r="M11" s="539" t="s">
        <v>736</v>
      </c>
      <c r="N11" s="540">
        <v>1500</v>
      </c>
      <c r="O11" s="540">
        <v>700</v>
      </c>
    </row>
    <row r="12" spans="1:19" x14ac:dyDescent="0.25">
      <c r="A12" s="508" t="s">
        <v>607</v>
      </c>
      <c r="B12" s="497">
        <v>302</v>
      </c>
      <c r="C12" s="510">
        <v>0.54</v>
      </c>
      <c r="D12" s="536" t="s">
        <v>730</v>
      </c>
      <c r="E12" s="506">
        <f t="shared" si="0"/>
        <v>435</v>
      </c>
      <c r="F12" s="506">
        <f t="shared" si="1"/>
        <v>95</v>
      </c>
      <c r="G12" s="506">
        <v>365</v>
      </c>
      <c r="H12" s="510">
        <v>0.25</v>
      </c>
      <c r="I12" s="510">
        <v>0.75</v>
      </c>
      <c r="J12" s="510">
        <v>0</v>
      </c>
      <c r="K12" s="510">
        <v>0</v>
      </c>
      <c r="M12" s="539" t="s">
        <v>737</v>
      </c>
      <c r="N12" s="540">
        <v>630</v>
      </c>
      <c r="O12" s="540">
        <v>105</v>
      </c>
    </row>
    <row r="13" spans="1:19" x14ac:dyDescent="0.25">
      <c r="A13" s="508" t="s">
        <v>608</v>
      </c>
      <c r="B13" s="497">
        <v>84</v>
      </c>
      <c r="C13" s="510">
        <v>0.46</v>
      </c>
      <c r="D13" s="536" t="s">
        <v>732</v>
      </c>
      <c r="E13" s="506">
        <f t="shared" si="0"/>
        <v>225</v>
      </c>
      <c r="F13" s="506">
        <f t="shared" si="1"/>
        <v>330</v>
      </c>
      <c r="G13" s="506">
        <v>250</v>
      </c>
      <c r="H13" s="510">
        <v>1</v>
      </c>
      <c r="I13" s="510">
        <v>0</v>
      </c>
      <c r="J13" s="510">
        <v>0</v>
      </c>
      <c r="K13" s="510">
        <v>0</v>
      </c>
      <c r="M13" s="539" t="s">
        <v>738</v>
      </c>
      <c r="N13" s="540">
        <v>1300</v>
      </c>
      <c r="O13" s="540">
        <v>140</v>
      </c>
    </row>
    <row r="14" spans="1:19" x14ac:dyDescent="0.25">
      <c r="A14" s="508" t="s">
        <v>609</v>
      </c>
      <c r="B14" s="497">
        <v>227</v>
      </c>
      <c r="C14" s="510">
        <v>0.46</v>
      </c>
      <c r="D14" s="536" t="s">
        <v>732</v>
      </c>
      <c r="E14" s="506">
        <f t="shared" si="0"/>
        <v>225</v>
      </c>
      <c r="F14" s="506">
        <f t="shared" si="1"/>
        <v>330</v>
      </c>
      <c r="G14" s="506">
        <v>365</v>
      </c>
      <c r="H14" s="510">
        <v>0.5</v>
      </c>
      <c r="I14" s="510">
        <v>0</v>
      </c>
      <c r="J14" s="510">
        <v>0</v>
      </c>
      <c r="K14" s="510">
        <v>0.5</v>
      </c>
      <c r="M14" s="539" t="s">
        <v>739</v>
      </c>
      <c r="N14" s="540">
        <v>2100</v>
      </c>
      <c r="O14" s="540">
        <v>150</v>
      </c>
    </row>
    <row r="15" spans="1:19" ht="15.75" thickBot="1" x14ac:dyDescent="0.3">
      <c r="A15" s="508" t="s">
        <v>610</v>
      </c>
      <c r="B15" s="497">
        <v>59</v>
      </c>
      <c r="C15" s="510">
        <v>0.68</v>
      </c>
      <c r="D15" s="536" t="s">
        <v>732</v>
      </c>
      <c r="E15" s="506">
        <f t="shared" si="0"/>
        <v>225</v>
      </c>
      <c r="F15" s="506">
        <f t="shared" si="1"/>
        <v>330</v>
      </c>
      <c r="G15" s="506">
        <v>250</v>
      </c>
      <c r="H15" s="510">
        <v>1</v>
      </c>
      <c r="I15" s="510">
        <v>0</v>
      </c>
      <c r="J15" s="510">
        <v>0</v>
      </c>
      <c r="K15" s="510">
        <v>0</v>
      </c>
    </row>
    <row r="16" spans="1:19" x14ac:dyDescent="0.25">
      <c r="A16" s="508" t="s">
        <v>611</v>
      </c>
      <c r="B16" s="497">
        <v>124</v>
      </c>
      <c r="C16" s="510">
        <v>0.46</v>
      </c>
      <c r="D16" s="536" t="s">
        <v>732</v>
      </c>
      <c r="E16" s="506">
        <f t="shared" si="0"/>
        <v>225</v>
      </c>
      <c r="F16" s="506">
        <f t="shared" si="1"/>
        <v>330</v>
      </c>
      <c r="G16" s="506">
        <v>365</v>
      </c>
      <c r="H16" s="510">
        <v>0.25</v>
      </c>
      <c r="I16" s="510">
        <v>0</v>
      </c>
      <c r="J16" s="510">
        <v>0</v>
      </c>
      <c r="K16" s="510">
        <v>0.75</v>
      </c>
      <c r="M16" s="663" t="s">
        <v>803</v>
      </c>
      <c r="N16" s="603"/>
    </row>
    <row r="17" spans="1:44" x14ac:dyDescent="0.25">
      <c r="A17" s="508" t="s">
        <v>612</v>
      </c>
      <c r="B17" s="497">
        <v>73</v>
      </c>
      <c r="C17" s="510">
        <v>0.68</v>
      </c>
      <c r="D17" s="536" t="s">
        <v>732</v>
      </c>
      <c r="E17" s="506">
        <f t="shared" si="0"/>
        <v>225</v>
      </c>
      <c r="F17" s="506">
        <f t="shared" si="1"/>
        <v>330</v>
      </c>
      <c r="G17" s="506">
        <v>250</v>
      </c>
      <c r="H17" s="510">
        <v>1</v>
      </c>
      <c r="I17" s="510">
        <v>0</v>
      </c>
      <c r="J17" s="510">
        <v>0</v>
      </c>
      <c r="K17" s="510">
        <v>0</v>
      </c>
      <c r="M17" s="493" t="s">
        <v>648</v>
      </c>
      <c r="N17" s="664" t="s">
        <v>804</v>
      </c>
      <c r="AG17" s="507"/>
      <c r="AJ17" s="509"/>
      <c r="AK17" s="507"/>
    </row>
    <row r="18" spans="1:44" x14ac:dyDescent="0.25">
      <c r="A18" s="508" t="s">
        <v>613</v>
      </c>
      <c r="B18" s="497">
        <v>370</v>
      </c>
      <c r="C18" s="510">
        <v>0.7</v>
      </c>
      <c r="D18" s="536" t="s">
        <v>733</v>
      </c>
      <c r="E18" s="506">
        <f t="shared" si="0"/>
        <v>400</v>
      </c>
      <c r="F18" s="506">
        <f t="shared" si="1"/>
        <v>0</v>
      </c>
      <c r="G18" s="506">
        <v>250</v>
      </c>
      <c r="H18" s="510">
        <v>0</v>
      </c>
      <c r="I18" s="510">
        <v>0</v>
      </c>
      <c r="J18" s="510">
        <v>0</v>
      </c>
      <c r="K18" s="510">
        <v>0</v>
      </c>
      <c r="M18" s="493" t="s">
        <v>649</v>
      </c>
      <c r="N18" s="598">
        <v>158.54</v>
      </c>
      <c r="AG18" s="507"/>
    </row>
    <row r="19" spans="1:44" x14ac:dyDescent="0.25">
      <c r="A19" s="508" t="s">
        <v>614</v>
      </c>
      <c r="B19" s="497">
        <v>87</v>
      </c>
      <c r="C19" s="510">
        <v>0.54</v>
      </c>
      <c r="D19" s="536" t="s">
        <v>736</v>
      </c>
      <c r="E19" s="506">
        <f t="shared" si="0"/>
        <v>1500</v>
      </c>
      <c r="F19" s="506">
        <f t="shared" si="1"/>
        <v>700</v>
      </c>
      <c r="G19" s="506">
        <v>365</v>
      </c>
      <c r="H19" s="510">
        <v>0.25</v>
      </c>
      <c r="I19" s="510">
        <v>0</v>
      </c>
      <c r="J19" s="510">
        <v>0</v>
      </c>
      <c r="K19" s="510">
        <v>0.75</v>
      </c>
      <c r="M19" s="493" t="s">
        <v>650</v>
      </c>
      <c r="N19" s="598">
        <v>53.11</v>
      </c>
      <c r="AG19" s="507"/>
      <c r="AJ19" s="495"/>
      <c r="AK19" s="495"/>
      <c r="AQ19" s="490"/>
      <c r="AR19" s="490"/>
    </row>
    <row r="20" spans="1:44" x14ac:dyDescent="0.25">
      <c r="A20" s="508" t="s">
        <v>615</v>
      </c>
      <c r="B20" s="497">
        <v>94</v>
      </c>
      <c r="C20" s="510">
        <v>0.54</v>
      </c>
      <c r="D20" s="536" t="s">
        <v>736</v>
      </c>
      <c r="E20" s="506">
        <f t="shared" si="0"/>
        <v>1500</v>
      </c>
      <c r="F20" s="506">
        <f t="shared" si="1"/>
        <v>700</v>
      </c>
      <c r="G20" s="506">
        <v>365</v>
      </c>
      <c r="H20" s="510">
        <v>0.25</v>
      </c>
      <c r="I20" s="510">
        <v>0</v>
      </c>
      <c r="J20" s="510">
        <v>0</v>
      </c>
      <c r="K20" s="510">
        <v>0.75</v>
      </c>
      <c r="M20" s="604" t="s">
        <v>668</v>
      </c>
      <c r="N20" s="598">
        <v>66.400000000000006</v>
      </c>
      <c r="AG20" s="507"/>
      <c r="AJ20" s="495"/>
      <c r="AK20" s="495"/>
      <c r="AQ20" s="490"/>
      <c r="AR20" s="490"/>
    </row>
    <row r="21" spans="1:44" x14ac:dyDescent="0.25">
      <c r="A21" s="508" t="s">
        <v>616</v>
      </c>
      <c r="B21" s="497">
        <v>89</v>
      </c>
      <c r="C21" s="510">
        <v>0.54</v>
      </c>
      <c r="D21" s="536" t="s">
        <v>736</v>
      </c>
      <c r="E21" s="506">
        <f t="shared" si="0"/>
        <v>1500</v>
      </c>
      <c r="F21" s="506">
        <f t="shared" si="1"/>
        <v>700</v>
      </c>
      <c r="G21" s="506">
        <v>180</v>
      </c>
      <c r="H21" s="510">
        <v>0.25</v>
      </c>
      <c r="I21" s="510">
        <v>0</v>
      </c>
      <c r="J21" s="510">
        <v>0</v>
      </c>
      <c r="K21" s="510">
        <v>0.75</v>
      </c>
      <c r="M21" s="604" t="s">
        <v>669</v>
      </c>
      <c r="N21" s="598">
        <v>66.400000000000006</v>
      </c>
      <c r="AG21" s="507"/>
      <c r="AJ21" s="495"/>
      <c r="AK21" s="495"/>
      <c r="AQ21" s="490"/>
      <c r="AR21" s="490"/>
    </row>
    <row r="22" spans="1:44" x14ac:dyDescent="0.25">
      <c r="A22" s="508" t="s">
        <v>617</v>
      </c>
      <c r="B22" s="497">
        <v>74</v>
      </c>
      <c r="C22" s="510">
        <v>0.7</v>
      </c>
      <c r="D22" s="536" t="s">
        <v>728</v>
      </c>
      <c r="E22" s="506">
        <f t="shared" si="0"/>
        <v>250</v>
      </c>
      <c r="F22" s="506">
        <f t="shared" si="1"/>
        <v>0</v>
      </c>
      <c r="G22" s="506">
        <v>250</v>
      </c>
      <c r="H22" s="510">
        <v>0</v>
      </c>
      <c r="I22" s="510">
        <v>0</v>
      </c>
      <c r="J22" s="510">
        <v>0</v>
      </c>
      <c r="K22" s="510">
        <v>0</v>
      </c>
      <c r="M22" s="604" t="s">
        <v>670</v>
      </c>
      <c r="N22" s="598">
        <v>54.48</v>
      </c>
      <c r="AG22" s="507"/>
      <c r="AJ22" s="495"/>
      <c r="AK22" s="495"/>
      <c r="AQ22" s="490"/>
      <c r="AR22" s="490"/>
    </row>
    <row r="23" spans="1:44" x14ac:dyDescent="0.25">
      <c r="A23" s="508" t="s">
        <v>618</v>
      </c>
      <c r="B23" s="497">
        <v>90</v>
      </c>
      <c r="C23" s="510">
        <v>0.7</v>
      </c>
      <c r="D23" s="536" t="s">
        <v>728</v>
      </c>
      <c r="E23" s="506">
        <f t="shared" si="0"/>
        <v>250</v>
      </c>
      <c r="F23" s="506">
        <f t="shared" si="1"/>
        <v>0</v>
      </c>
      <c r="G23" s="506">
        <v>250</v>
      </c>
      <c r="H23" s="510">
        <v>0</v>
      </c>
      <c r="I23" s="510">
        <v>0</v>
      </c>
      <c r="J23" s="510">
        <v>0</v>
      </c>
      <c r="K23" s="510">
        <v>0</v>
      </c>
      <c r="M23" s="493" t="s">
        <v>651</v>
      </c>
      <c r="N23" s="598">
        <v>64.25</v>
      </c>
      <c r="AG23" s="507"/>
      <c r="AJ23" s="495"/>
      <c r="AK23" s="495"/>
      <c r="AQ23" s="490"/>
      <c r="AR23" s="490"/>
    </row>
    <row r="24" spans="1:44" x14ac:dyDescent="0.25">
      <c r="A24" s="508" t="s">
        <v>619</v>
      </c>
      <c r="B24" s="497">
        <v>104</v>
      </c>
      <c r="C24" s="510">
        <v>0.7</v>
      </c>
      <c r="D24" s="536" t="s">
        <v>728</v>
      </c>
      <c r="E24" s="506">
        <f t="shared" si="0"/>
        <v>250</v>
      </c>
      <c r="F24" s="506">
        <f t="shared" si="1"/>
        <v>0</v>
      </c>
      <c r="G24" s="506">
        <v>250</v>
      </c>
      <c r="H24" s="510">
        <v>0</v>
      </c>
      <c r="I24" s="510">
        <v>0</v>
      </c>
      <c r="J24" s="510">
        <v>0</v>
      </c>
      <c r="K24" s="510">
        <v>0</v>
      </c>
      <c r="M24" s="493" t="s">
        <v>652</v>
      </c>
      <c r="N24" s="598">
        <v>73.5</v>
      </c>
      <c r="AG24" s="507"/>
      <c r="AJ24" s="495"/>
      <c r="AK24" s="495"/>
      <c r="AQ24" s="490"/>
      <c r="AR24" s="490"/>
    </row>
    <row r="25" spans="1:44" x14ac:dyDescent="0.25">
      <c r="A25" s="508" t="s">
        <v>620</v>
      </c>
      <c r="B25" s="601">
        <v>104</v>
      </c>
      <c r="C25" s="602">
        <v>0.7</v>
      </c>
      <c r="D25" s="536" t="s">
        <v>728</v>
      </c>
      <c r="E25" s="506">
        <f t="shared" si="0"/>
        <v>250</v>
      </c>
      <c r="F25" s="506">
        <f t="shared" si="1"/>
        <v>0</v>
      </c>
      <c r="G25" s="506">
        <v>250</v>
      </c>
      <c r="H25" s="510">
        <v>0</v>
      </c>
      <c r="I25" s="510">
        <v>0</v>
      </c>
      <c r="J25" s="510">
        <v>0</v>
      </c>
      <c r="K25" s="510">
        <v>0</v>
      </c>
      <c r="L25" s="507"/>
      <c r="M25" s="493" t="s">
        <v>653</v>
      </c>
      <c r="N25" s="598">
        <v>74.209999999999994</v>
      </c>
      <c r="X25" s="562"/>
      <c r="Y25" s="495"/>
      <c r="AG25" s="507"/>
    </row>
    <row r="26" spans="1:44" x14ac:dyDescent="0.25">
      <c r="A26" s="508" t="s">
        <v>621</v>
      </c>
      <c r="B26" s="497">
        <v>95</v>
      </c>
      <c r="C26" s="510">
        <v>0.56999999999999995</v>
      </c>
      <c r="D26" s="536" t="s">
        <v>728</v>
      </c>
      <c r="E26" s="506">
        <f t="shared" si="0"/>
        <v>250</v>
      </c>
      <c r="F26" s="506">
        <f t="shared" si="1"/>
        <v>0</v>
      </c>
      <c r="G26" s="506">
        <v>250</v>
      </c>
      <c r="H26" s="510">
        <v>0</v>
      </c>
      <c r="I26" s="510">
        <v>0</v>
      </c>
      <c r="J26" s="510">
        <v>0</v>
      </c>
      <c r="K26" s="510">
        <v>0</v>
      </c>
      <c r="M26" s="493" t="s">
        <v>654</v>
      </c>
      <c r="N26" s="598">
        <v>75.290000000000006</v>
      </c>
      <c r="S26"/>
      <c r="T26"/>
      <c r="U26"/>
      <c r="V26"/>
      <c r="W26"/>
      <c r="X26" s="491"/>
      <c r="Y26"/>
      <c r="Z26"/>
      <c r="AA26"/>
      <c r="AB26"/>
      <c r="AC26"/>
      <c r="AD26"/>
      <c r="AE26"/>
      <c r="AF26"/>
      <c r="AG26" s="560"/>
      <c r="AH26" s="561"/>
      <c r="AI26" s="503"/>
      <c r="AJ26" s="503"/>
      <c r="AK26" s="503"/>
    </row>
    <row r="27" spans="1:44" x14ac:dyDescent="0.25">
      <c r="A27" s="508" t="s">
        <v>622</v>
      </c>
      <c r="B27" s="497">
        <v>66</v>
      </c>
      <c r="C27" s="510">
        <v>0.56999999999999995</v>
      </c>
      <c r="D27" s="536" t="s">
        <v>728</v>
      </c>
      <c r="E27" s="506">
        <f t="shared" si="0"/>
        <v>250</v>
      </c>
      <c r="F27" s="506">
        <f t="shared" si="1"/>
        <v>0</v>
      </c>
      <c r="G27" s="506">
        <v>250</v>
      </c>
      <c r="H27" s="510">
        <v>0</v>
      </c>
      <c r="I27" s="510">
        <v>0</v>
      </c>
      <c r="J27" s="510">
        <v>0</v>
      </c>
      <c r="K27" s="510">
        <v>0</v>
      </c>
      <c r="M27" s="493" t="s">
        <v>655</v>
      </c>
      <c r="N27" s="598">
        <v>75.349999999999994</v>
      </c>
      <c r="S27"/>
      <c r="T27"/>
      <c r="U27"/>
      <c r="V27"/>
      <c r="W27"/>
    </row>
    <row r="28" spans="1:44" x14ac:dyDescent="0.25">
      <c r="A28" s="508" t="s">
        <v>623</v>
      </c>
      <c r="B28" s="497">
        <v>104</v>
      </c>
      <c r="C28" s="510">
        <v>0.56999999999999995</v>
      </c>
      <c r="D28" s="536" t="s">
        <v>728</v>
      </c>
      <c r="E28" s="506">
        <f t="shared" si="0"/>
        <v>250</v>
      </c>
      <c r="F28" s="506">
        <f t="shared" si="1"/>
        <v>0</v>
      </c>
      <c r="G28" s="506">
        <v>250</v>
      </c>
      <c r="H28" s="510">
        <v>0</v>
      </c>
      <c r="I28" s="510">
        <v>0</v>
      </c>
      <c r="J28" s="510">
        <v>0</v>
      </c>
      <c r="K28" s="510">
        <v>0</v>
      </c>
      <c r="M28" s="493" t="s">
        <v>656</v>
      </c>
      <c r="N28" s="598">
        <v>74.209999999999994</v>
      </c>
      <c r="S28"/>
      <c r="T28"/>
      <c r="U28"/>
      <c r="V28"/>
      <c r="W28"/>
    </row>
    <row r="29" spans="1:44" x14ac:dyDescent="0.25">
      <c r="A29" s="508" t="s">
        <v>624</v>
      </c>
      <c r="B29" s="497">
        <v>65</v>
      </c>
      <c r="C29" s="510">
        <v>0.56999999999999995</v>
      </c>
      <c r="D29" s="536" t="s">
        <v>728</v>
      </c>
      <c r="E29" s="506">
        <f t="shared" si="0"/>
        <v>250</v>
      </c>
      <c r="F29" s="506">
        <f t="shared" si="1"/>
        <v>0</v>
      </c>
      <c r="G29" s="506">
        <v>250</v>
      </c>
      <c r="H29" s="510">
        <v>0</v>
      </c>
      <c r="I29" s="510">
        <v>0</v>
      </c>
      <c r="J29" s="510">
        <v>0</v>
      </c>
      <c r="K29" s="510">
        <v>0</v>
      </c>
      <c r="M29" s="493" t="s">
        <v>657</v>
      </c>
      <c r="N29" s="598">
        <v>77.69</v>
      </c>
      <c r="S29"/>
      <c r="T29"/>
      <c r="W29"/>
    </row>
    <row r="30" spans="1:44" x14ac:dyDescent="0.25">
      <c r="A30" s="508" t="s">
        <v>625</v>
      </c>
      <c r="B30" s="497">
        <v>52</v>
      </c>
      <c r="C30" s="510">
        <v>0.56999999999999995</v>
      </c>
      <c r="D30" s="536" t="s">
        <v>728</v>
      </c>
      <c r="E30" s="506">
        <f t="shared" si="0"/>
        <v>250</v>
      </c>
      <c r="F30" s="506">
        <f t="shared" si="1"/>
        <v>0</v>
      </c>
      <c r="G30" s="506">
        <v>250</v>
      </c>
      <c r="H30" s="510">
        <v>0</v>
      </c>
      <c r="I30" s="510">
        <v>0</v>
      </c>
      <c r="J30" s="510">
        <v>0</v>
      </c>
      <c r="K30" s="510">
        <v>0</v>
      </c>
      <c r="M30" s="493" t="s">
        <v>658</v>
      </c>
      <c r="N30" s="598">
        <v>104.44</v>
      </c>
      <c r="T30" s="541"/>
      <c r="W30"/>
    </row>
    <row r="31" spans="1:44" x14ac:dyDescent="0.25">
      <c r="A31" s="508" t="s">
        <v>626</v>
      </c>
      <c r="B31" s="497">
        <v>78</v>
      </c>
      <c r="C31" s="510">
        <v>0.55000000000000004</v>
      </c>
      <c r="D31" s="536" t="s">
        <v>728</v>
      </c>
      <c r="E31" s="506">
        <f t="shared" si="0"/>
        <v>250</v>
      </c>
      <c r="F31" s="506">
        <f t="shared" si="1"/>
        <v>0</v>
      </c>
      <c r="G31" s="506">
        <v>250</v>
      </c>
      <c r="H31" s="510">
        <v>0</v>
      </c>
      <c r="I31" s="510">
        <v>0</v>
      </c>
      <c r="J31" s="510">
        <v>0</v>
      </c>
      <c r="K31" s="510">
        <v>0</v>
      </c>
      <c r="M31" s="493" t="s">
        <v>659</v>
      </c>
      <c r="N31" s="598">
        <v>94.03</v>
      </c>
      <c r="T31" s="541"/>
      <c r="W31"/>
    </row>
    <row r="32" spans="1:44" ht="15.75" thickBot="1" x14ac:dyDescent="0.3">
      <c r="A32" s="508" t="s">
        <v>627</v>
      </c>
      <c r="B32" s="497">
        <v>90</v>
      </c>
      <c r="C32" s="510">
        <v>0.55000000000000004</v>
      </c>
      <c r="D32" s="536" t="s">
        <v>728</v>
      </c>
      <c r="E32" s="506">
        <f t="shared" si="0"/>
        <v>250</v>
      </c>
      <c r="F32" s="506">
        <f t="shared" si="1"/>
        <v>0</v>
      </c>
      <c r="G32" s="506">
        <v>250</v>
      </c>
      <c r="H32" s="510">
        <v>0</v>
      </c>
      <c r="I32" s="510">
        <v>0</v>
      </c>
      <c r="J32" s="510">
        <v>0</v>
      </c>
      <c r="K32" s="510">
        <v>0</v>
      </c>
      <c r="M32" s="494" t="s">
        <v>660</v>
      </c>
      <c r="N32" s="600">
        <v>114.42</v>
      </c>
      <c r="T32" s="541"/>
      <c r="W32"/>
    </row>
    <row r="33" spans="1:33" ht="15.75" thickBot="1" x14ac:dyDescent="0.3">
      <c r="A33" s="508" t="s">
        <v>564</v>
      </c>
      <c r="B33" s="497">
        <v>46</v>
      </c>
      <c r="C33" s="510">
        <v>0.47</v>
      </c>
      <c r="D33" s="536" t="s">
        <v>728</v>
      </c>
      <c r="E33" s="506">
        <f t="shared" si="0"/>
        <v>250</v>
      </c>
      <c r="F33" s="506">
        <f t="shared" si="1"/>
        <v>0</v>
      </c>
      <c r="G33" s="506">
        <v>180</v>
      </c>
      <c r="H33" s="510">
        <v>0</v>
      </c>
      <c r="I33" s="510">
        <v>0</v>
      </c>
      <c r="J33" s="510">
        <v>0</v>
      </c>
      <c r="K33" s="510">
        <v>0</v>
      </c>
      <c r="T33" s="541"/>
      <c r="W33"/>
    </row>
    <row r="34" spans="1:33" ht="45" x14ac:dyDescent="0.25">
      <c r="A34" s="508" t="s">
        <v>628</v>
      </c>
      <c r="B34" s="497">
        <v>73.400000000000006</v>
      </c>
      <c r="C34" s="510">
        <v>0.54</v>
      </c>
      <c r="D34" s="536" t="s">
        <v>736</v>
      </c>
      <c r="E34" s="506">
        <f t="shared" si="0"/>
        <v>1500</v>
      </c>
      <c r="F34" s="506">
        <f t="shared" si="1"/>
        <v>700</v>
      </c>
      <c r="G34" s="506">
        <v>365</v>
      </c>
      <c r="H34" s="510">
        <v>0.25</v>
      </c>
      <c r="I34" s="510">
        <v>0</v>
      </c>
      <c r="J34" s="510">
        <v>0</v>
      </c>
      <c r="K34" s="510">
        <v>0.75</v>
      </c>
      <c r="M34"/>
      <c r="N34"/>
      <c r="O34"/>
      <c r="P34"/>
      <c r="Q34"/>
      <c r="R34"/>
      <c r="S34"/>
      <c r="T34"/>
      <c r="U34"/>
      <c r="V34" s="561"/>
      <c r="W34" s="561"/>
      <c r="X34" s="503"/>
      <c r="Y34" s="503"/>
      <c r="Z34" s="586" t="s">
        <v>777</v>
      </c>
      <c r="AA34" s="662" t="s">
        <v>764</v>
      </c>
      <c r="AB34" s="575" t="s">
        <v>678</v>
      </c>
      <c r="AC34" s="576" t="s">
        <v>762</v>
      </c>
      <c r="AD34" s="575" t="s">
        <v>680</v>
      </c>
      <c r="AE34" s="577" t="s">
        <v>763</v>
      </c>
      <c r="AF34" s="495"/>
      <c r="AG34" s="495"/>
    </row>
    <row r="35" spans="1:33" ht="15.75" thickBot="1" x14ac:dyDescent="0.3">
      <c r="A35" s="508" t="s">
        <v>629</v>
      </c>
      <c r="B35" s="497">
        <v>58.2</v>
      </c>
      <c r="C35" s="510">
        <v>0.54</v>
      </c>
      <c r="D35" s="536" t="s">
        <v>736</v>
      </c>
      <c r="E35" s="506">
        <f t="shared" si="0"/>
        <v>1500</v>
      </c>
      <c r="F35" s="506">
        <f t="shared" si="1"/>
        <v>700</v>
      </c>
      <c r="G35" s="506">
        <v>365</v>
      </c>
      <c r="H35" s="510">
        <v>0.25</v>
      </c>
      <c r="I35" s="510">
        <v>0</v>
      </c>
      <c r="J35" s="510">
        <v>0</v>
      </c>
      <c r="K35" s="510">
        <v>0.75</v>
      </c>
      <c r="N35"/>
      <c r="O35"/>
      <c r="P35"/>
      <c r="Q35"/>
      <c r="R35"/>
      <c r="S35"/>
      <c r="T35"/>
      <c r="V35" s="561"/>
      <c r="W35" s="561"/>
      <c r="X35" s="503"/>
      <c r="Y35" s="503"/>
      <c r="Z35" s="587" t="e">
        <f>INDEX($A$1:$K$48,MATCH(BuildingUseType,$A$1:$A$48,0),MATCH("Days/yr",$A$1:$K$1,0))</f>
        <v>#N/A</v>
      </c>
      <c r="AA35" s="572" t="e">
        <f>BuildingArea/INDEX($A$1:$K$48,MATCH(BuildingUseType,$A$1:$A$48,0),MATCH("GSF/Employee",$A$1:$K$1,0))</f>
        <v>#N/A</v>
      </c>
      <c r="AB35" s="573">
        <f>IFERROR(BuildingArea/INDEX($A$1:$K$48,MATCH(BuildingUseType,$A$1:$A$48,0),MATCH("GSF/Transient",$A$1:$K$1,0))*INDEX($A$1:$K$48,MATCH(BuildingUseType,$A$1:$A$48,0),MATCH("% Transients as Visitors",$A$1:$K$1,0)),0)</f>
        <v>0</v>
      </c>
      <c r="AC35" s="573">
        <f>IFERROR(BuildingArea/INDEX($A$1:$K$48,MATCH(BuildingUseType,$A$1:$A$48,0),MATCH("GSF/Transient",$A$1:$K$1,0))*INDEX($A$1:$K$48,MATCH(BuildingUseType,$A$1:$A$48,0),MATCH("% Transients as Customers",$A$1:$K$1,0)),0)</f>
        <v>0</v>
      </c>
      <c r="AD35" s="573">
        <f>IFERROR(BuildingArea/INDEX($A$1:$K$48,MATCH(BuildingUseType,$A$1:$A$48,0),MATCH("GSF/Transient",$A$1:$K$1,0))*INDEX($A$1:$K$48,MATCH(BuildingUseType,$A$1:$A$48,0),MATCH("% Transients as Students",$A$1:$K$1,0)),0)</f>
        <v>0</v>
      </c>
      <c r="AE35" s="574">
        <f>IFERROR(BuildingArea/INDEX($A$1:$K$48,MATCH(BuildingUseType,$A$1:$A$48,0),MATCH("GSF/Transient",$A$1:$K$1,0))*INDEX($A$1:$K$48,MATCH(BuildingUseType,$A$1:$A$48,0),MATCH("% Transients as Residents",$A$1:$K$1,0)),0)</f>
        <v>0</v>
      </c>
      <c r="AF35" s="495"/>
      <c r="AG35" s="495"/>
    </row>
    <row r="36" spans="1:33" ht="15.75" thickBot="1" x14ac:dyDescent="0.3">
      <c r="A36" s="508" t="s">
        <v>630</v>
      </c>
      <c r="B36" s="497">
        <v>49.5</v>
      </c>
      <c r="C36" s="510">
        <v>0.54</v>
      </c>
      <c r="D36" s="536" t="s">
        <v>736</v>
      </c>
      <c r="E36" s="506">
        <f t="shared" si="0"/>
        <v>1500</v>
      </c>
      <c r="F36" s="506">
        <f t="shared" si="1"/>
        <v>700</v>
      </c>
      <c r="G36" s="506">
        <v>365</v>
      </c>
      <c r="H36" s="510">
        <v>0.25</v>
      </c>
      <c r="I36" s="510">
        <v>0</v>
      </c>
      <c r="J36" s="510">
        <v>0</v>
      </c>
      <c r="K36" s="510">
        <v>0.75</v>
      </c>
      <c r="M36" s="927" t="s">
        <v>779</v>
      </c>
      <c r="N36" s="928"/>
      <c r="O36" s="928"/>
      <c r="P36" s="928"/>
      <c r="Q36" s="928"/>
      <c r="R36" s="928"/>
      <c r="S36" s="928"/>
      <c r="T36" s="928"/>
      <c r="U36" s="929"/>
      <c r="V36" s="924" t="s">
        <v>774</v>
      </c>
      <c r="W36" s="925"/>
      <c r="X36" s="925"/>
      <c r="Y36" s="925"/>
      <c r="Z36" s="926"/>
      <c r="AA36" s="924" t="s">
        <v>770</v>
      </c>
      <c r="AB36" s="925"/>
      <c r="AC36" s="925"/>
      <c r="AD36" s="925"/>
      <c r="AE36" s="926"/>
      <c r="AF36" s="495"/>
      <c r="AG36" s="495"/>
    </row>
    <row r="37" spans="1:33" ht="51.75" x14ac:dyDescent="0.25">
      <c r="A37" s="508" t="s">
        <v>631</v>
      </c>
      <c r="B37" s="497">
        <v>43.7</v>
      </c>
      <c r="C37" s="510">
        <v>0.54</v>
      </c>
      <c r="D37" s="536" t="s">
        <v>736</v>
      </c>
      <c r="E37" s="506">
        <f t="shared" si="0"/>
        <v>1500</v>
      </c>
      <c r="F37" s="506">
        <f t="shared" si="1"/>
        <v>700</v>
      </c>
      <c r="G37" s="506">
        <v>365</v>
      </c>
      <c r="H37" s="510">
        <v>0.25</v>
      </c>
      <c r="I37" s="510">
        <v>0</v>
      </c>
      <c r="J37" s="510">
        <v>0</v>
      </c>
      <c r="K37" s="510">
        <v>0.75</v>
      </c>
      <c r="M37" s="544" t="s">
        <v>769</v>
      </c>
      <c r="N37" s="545" t="s">
        <v>771</v>
      </c>
      <c r="O37" s="545" t="s">
        <v>772</v>
      </c>
      <c r="P37" s="546" t="s">
        <v>773</v>
      </c>
      <c r="Q37" s="553" t="s">
        <v>755</v>
      </c>
      <c r="R37" s="545" t="s">
        <v>679</v>
      </c>
      <c r="S37" s="545" t="s">
        <v>758</v>
      </c>
      <c r="T37" s="545" t="s">
        <v>756</v>
      </c>
      <c r="U37" s="563" t="s">
        <v>757</v>
      </c>
      <c r="V37" s="590" t="s">
        <v>764</v>
      </c>
      <c r="W37" s="591" t="s">
        <v>678</v>
      </c>
      <c r="X37" s="592" t="s">
        <v>762</v>
      </c>
      <c r="Y37" s="591" t="s">
        <v>680</v>
      </c>
      <c r="Z37" s="593" t="s">
        <v>763</v>
      </c>
      <c r="AA37" s="590" t="s">
        <v>764</v>
      </c>
      <c r="AB37" s="591" t="s">
        <v>678</v>
      </c>
      <c r="AC37" s="592" t="s">
        <v>762</v>
      </c>
      <c r="AD37" s="591" t="s">
        <v>680</v>
      </c>
      <c r="AE37" s="594" t="s">
        <v>763</v>
      </c>
      <c r="AF37" s="580" t="s">
        <v>775</v>
      </c>
      <c r="AG37" s="581" t="s">
        <v>776</v>
      </c>
    </row>
    <row r="38" spans="1:33" x14ac:dyDescent="0.25">
      <c r="A38" s="508" t="s">
        <v>632</v>
      </c>
      <c r="B38" s="497">
        <v>43.8</v>
      </c>
      <c r="C38" s="510">
        <v>0.54</v>
      </c>
      <c r="D38" s="536" t="s">
        <v>736</v>
      </c>
      <c r="E38" s="506">
        <f t="shared" si="0"/>
        <v>1500</v>
      </c>
      <c r="F38" s="506">
        <f t="shared" si="1"/>
        <v>700</v>
      </c>
      <c r="G38" s="506">
        <v>365</v>
      </c>
      <c r="H38" s="510">
        <v>0.25</v>
      </c>
      <c r="I38" s="510">
        <v>0</v>
      </c>
      <c r="J38" s="510">
        <v>0</v>
      </c>
      <c r="K38" s="510">
        <v>0.75</v>
      </c>
      <c r="M38" s="547" t="s">
        <v>748</v>
      </c>
      <c r="N38" s="542">
        <v>1.6</v>
      </c>
      <c r="O38" s="542">
        <f>IF(Metrics!$D$36="No",1.6,1.28)</f>
        <v>1.6</v>
      </c>
      <c r="P38" s="548">
        <v>0.5</v>
      </c>
      <c r="Q38" s="554">
        <v>3</v>
      </c>
      <c r="R38" s="542">
        <v>0.5</v>
      </c>
      <c r="S38" s="542">
        <v>0.2</v>
      </c>
      <c r="T38" s="542">
        <v>3</v>
      </c>
      <c r="U38" s="564">
        <v>5</v>
      </c>
      <c r="V38" s="566" t="e">
        <f t="shared" ref="V38:V47" si="2">$N38*$P38*Q38*AA$35</f>
        <v>#N/A</v>
      </c>
      <c r="W38" s="559">
        <f t="shared" ref="W38:W47" si="3">$N38*$P38*R38*AB$35</f>
        <v>0</v>
      </c>
      <c r="X38" s="559">
        <f t="shared" ref="X38:X47" si="4">$N38*$P38*S38*AC$35</f>
        <v>0</v>
      </c>
      <c r="Y38" s="559">
        <f t="shared" ref="Y38:Y47" si="5">$N38*$P38*T38*AD$35</f>
        <v>0</v>
      </c>
      <c r="Z38" s="567">
        <f t="shared" ref="Z38:Z47" si="6">$N38*$P38*U38*AE$35</f>
        <v>0</v>
      </c>
      <c r="AA38" s="571" t="e">
        <f t="shared" ref="AA38:AA47" si="7">$O38*$P38*Q38*AA$35</f>
        <v>#N/A</v>
      </c>
      <c r="AB38" s="558">
        <f t="shared" ref="AB38:AB47" si="8">$O38*$P38*R38*AB$35</f>
        <v>0</v>
      </c>
      <c r="AC38" s="558">
        <f t="shared" ref="AC38:AC47" si="9">$O38*$P38*S38*AC$35</f>
        <v>0</v>
      </c>
      <c r="AD38" s="558">
        <f t="shared" ref="AD38:AD47" si="10">$O38*$P38*T38*AD$35</f>
        <v>0</v>
      </c>
      <c r="AE38" s="578">
        <f t="shared" ref="AE38:AE47" si="11">$O38*$P38*U38*AE$35</f>
        <v>0</v>
      </c>
      <c r="AF38" s="582" t="e">
        <f t="shared" ref="AF38:AF47" si="12">SUM(V38:Z38)*$Z$35</f>
        <v>#N/A</v>
      </c>
      <c r="AG38" s="583" t="e">
        <f t="shared" ref="AG38:AG47" si="13">SUM(AA38:AE38)*$Z$35</f>
        <v>#N/A</v>
      </c>
    </row>
    <row r="39" spans="1:33" x14ac:dyDescent="0.25">
      <c r="A39" s="508" t="s">
        <v>633</v>
      </c>
      <c r="B39" s="601">
        <v>104</v>
      </c>
      <c r="C39" s="510">
        <v>0.54</v>
      </c>
      <c r="D39" s="536" t="s">
        <v>736</v>
      </c>
      <c r="E39" s="506">
        <f t="shared" si="0"/>
        <v>1500</v>
      </c>
      <c r="F39" s="506">
        <f t="shared" si="1"/>
        <v>700</v>
      </c>
      <c r="G39" s="506">
        <v>365</v>
      </c>
      <c r="H39" s="510">
        <v>0.25</v>
      </c>
      <c r="I39" s="510">
        <v>0</v>
      </c>
      <c r="J39" s="510">
        <v>0</v>
      </c>
      <c r="K39" s="510">
        <v>0.75</v>
      </c>
      <c r="M39" s="547" t="s">
        <v>749</v>
      </c>
      <c r="N39" s="542">
        <v>1.6</v>
      </c>
      <c r="O39" s="542">
        <f>IF(Metrics!$D$36="No",1.6,1.28)</f>
        <v>1.6</v>
      </c>
      <c r="P39" s="548">
        <v>0.5</v>
      </c>
      <c r="Q39" s="554">
        <v>1</v>
      </c>
      <c r="R39" s="542">
        <v>0.1</v>
      </c>
      <c r="S39" s="542">
        <v>0.1</v>
      </c>
      <c r="T39" s="542">
        <v>1</v>
      </c>
      <c r="U39" s="564">
        <v>5</v>
      </c>
      <c r="V39" s="566" t="e">
        <f t="shared" si="2"/>
        <v>#N/A</v>
      </c>
      <c r="W39" s="559">
        <f t="shared" si="3"/>
        <v>0</v>
      </c>
      <c r="X39" s="559">
        <f t="shared" si="4"/>
        <v>0</v>
      </c>
      <c r="Y39" s="559">
        <f t="shared" si="5"/>
        <v>0</v>
      </c>
      <c r="Z39" s="567">
        <f t="shared" si="6"/>
        <v>0</v>
      </c>
      <c r="AA39" s="571" t="e">
        <f t="shared" si="7"/>
        <v>#N/A</v>
      </c>
      <c r="AB39" s="558">
        <f t="shared" si="8"/>
        <v>0</v>
      </c>
      <c r="AC39" s="558">
        <f t="shared" si="9"/>
        <v>0</v>
      </c>
      <c r="AD39" s="558">
        <f t="shared" si="10"/>
        <v>0</v>
      </c>
      <c r="AE39" s="578">
        <f t="shared" si="11"/>
        <v>0</v>
      </c>
      <c r="AF39" s="582" t="e">
        <f t="shared" si="12"/>
        <v>#N/A</v>
      </c>
      <c r="AG39" s="583" t="e">
        <f t="shared" si="13"/>
        <v>#N/A</v>
      </c>
    </row>
    <row r="40" spans="1:33" x14ac:dyDescent="0.25">
      <c r="A40" s="508" t="s">
        <v>634</v>
      </c>
      <c r="B40" s="497">
        <v>107</v>
      </c>
      <c r="C40" s="510">
        <v>0.66</v>
      </c>
      <c r="D40" s="536" t="s">
        <v>727</v>
      </c>
      <c r="E40" s="506">
        <f t="shared" si="0"/>
        <v>550</v>
      </c>
      <c r="F40" s="506">
        <f t="shared" si="1"/>
        <v>130</v>
      </c>
      <c r="G40" s="506">
        <v>365</v>
      </c>
      <c r="H40" s="510">
        <v>0.25</v>
      </c>
      <c r="I40" s="510">
        <v>0.75</v>
      </c>
      <c r="J40" s="510">
        <v>0</v>
      </c>
      <c r="K40" s="510">
        <v>0</v>
      </c>
      <c r="M40" s="547" t="s">
        <v>750</v>
      </c>
      <c r="N40" s="542">
        <v>1</v>
      </c>
      <c r="O40" s="542">
        <f>IF(Metrics!$D$36="No",1,0.5)</f>
        <v>1</v>
      </c>
      <c r="P40" s="548">
        <v>0</v>
      </c>
      <c r="Q40" s="554">
        <v>0</v>
      </c>
      <c r="R40" s="542">
        <v>0</v>
      </c>
      <c r="S40" s="542">
        <v>0</v>
      </c>
      <c r="T40" s="542">
        <v>0</v>
      </c>
      <c r="U40" s="564">
        <v>0</v>
      </c>
      <c r="V40" s="566" t="e">
        <f t="shared" si="2"/>
        <v>#N/A</v>
      </c>
      <c r="W40" s="559">
        <f t="shared" si="3"/>
        <v>0</v>
      </c>
      <c r="X40" s="559">
        <f t="shared" si="4"/>
        <v>0</v>
      </c>
      <c r="Y40" s="559">
        <f t="shared" si="5"/>
        <v>0</v>
      </c>
      <c r="Z40" s="567">
        <f t="shared" si="6"/>
        <v>0</v>
      </c>
      <c r="AA40" s="571" t="e">
        <f t="shared" si="7"/>
        <v>#N/A</v>
      </c>
      <c r="AB40" s="558">
        <f t="shared" si="8"/>
        <v>0</v>
      </c>
      <c r="AC40" s="558">
        <f t="shared" si="9"/>
        <v>0</v>
      </c>
      <c r="AD40" s="558">
        <f t="shared" si="10"/>
        <v>0</v>
      </c>
      <c r="AE40" s="578">
        <f t="shared" si="11"/>
        <v>0</v>
      </c>
      <c r="AF40" s="582" t="e">
        <f t="shared" si="12"/>
        <v>#N/A</v>
      </c>
      <c r="AG40" s="583" t="e">
        <f t="shared" si="13"/>
        <v>#N/A</v>
      </c>
    </row>
    <row r="41" spans="1:33" x14ac:dyDescent="0.25">
      <c r="A41" s="508" t="s">
        <v>635</v>
      </c>
      <c r="B41" s="497">
        <v>82</v>
      </c>
      <c r="C41" s="510">
        <v>0.77</v>
      </c>
      <c r="D41" s="536" t="s">
        <v>727</v>
      </c>
      <c r="E41" s="506">
        <f t="shared" si="0"/>
        <v>550</v>
      </c>
      <c r="F41" s="506">
        <f t="shared" si="1"/>
        <v>130</v>
      </c>
      <c r="G41" s="506">
        <v>365</v>
      </c>
      <c r="H41" s="510">
        <v>0.25</v>
      </c>
      <c r="I41" s="510">
        <v>0.75</v>
      </c>
      <c r="J41" s="510">
        <v>0</v>
      </c>
      <c r="K41" s="510">
        <v>0</v>
      </c>
      <c r="M41" s="547" t="s">
        <v>751</v>
      </c>
      <c r="N41" s="542">
        <v>1</v>
      </c>
      <c r="O41" s="542">
        <f>IF(Metrics!$D$36="No",1,0.5)</f>
        <v>1</v>
      </c>
      <c r="P41" s="548">
        <v>0.5</v>
      </c>
      <c r="Q41" s="554">
        <v>2</v>
      </c>
      <c r="R41" s="542">
        <v>0.4</v>
      </c>
      <c r="S41" s="542">
        <v>0.1</v>
      </c>
      <c r="T41" s="542">
        <v>2</v>
      </c>
      <c r="U41" s="564">
        <v>0</v>
      </c>
      <c r="V41" s="566" t="e">
        <f t="shared" si="2"/>
        <v>#N/A</v>
      </c>
      <c r="W41" s="559">
        <f t="shared" si="3"/>
        <v>0</v>
      </c>
      <c r="X41" s="559">
        <f t="shared" si="4"/>
        <v>0</v>
      </c>
      <c r="Y41" s="559">
        <f t="shared" si="5"/>
        <v>0</v>
      </c>
      <c r="Z41" s="567">
        <f t="shared" si="6"/>
        <v>0</v>
      </c>
      <c r="AA41" s="571" t="e">
        <f t="shared" si="7"/>
        <v>#N/A</v>
      </c>
      <c r="AB41" s="558">
        <f t="shared" si="8"/>
        <v>0</v>
      </c>
      <c r="AC41" s="558">
        <f t="shared" si="9"/>
        <v>0</v>
      </c>
      <c r="AD41" s="558">
        <f t="shared" si="10"/>
        <v>0</v>
      </c>
      <c r="AE41" s="578">
        <f t="shared" si="11"/>
        <v>0</v>
      </c>
      <c r="AF41" s="582" t="e">
        <f t="shared" si="12"/>
        <v>#N/A</v>
      </c>
      <c r="AG41" s="583" t="e">
        <f t="shared" si="13"/>
        <v>#N/A</v>
      </c>
    </row>
    <row r="42" spans="1:33" x14ac:dyDescent="0.25">
      <c r="A42" s="508" t="s">
        <v>636</v>
      </c>
      <c r="B42" s="497">
        <v>72</v>
      </c>
      <c r="C42" s="510">
        <v>0.77</v>
      </c>
      <c r="D42" s="536" t="s">
        <v>727</v>
      </c>
      <c r="E42" s="506">
        <f t="shared" si="0"/>
        <v>550</v>
      </c>
      <c r="F42" s="506">
        <f t="shared" si="1"/>
        <v>130</v>
      </c>
      <c r="G42" s="506">
        <v>365</v>
      </c>
      <c r="H42" s="510">
        <v>0.25</v>
      </c>
      <c r="I42" s="510">
        <v>0.75</v>
      </c>
      <c r="J42" s="510">
        <v>0</v>
      </c>
      <c r="K42" s="510">
        <v>0</v>
      </c>
      <c r="M42" s="547" t="s">
        <v>752</v>
      </c>
      <c r="N42" s="542">
        <v>0.5</v>
      </c>
      <c r="O42" s="542">
        <f>IF(Metrics!$D$37="No",0.5,0.25)</f>
        <v>0.5</v>
      </c>
      <c r="P42" s="548">
        <v>0.5</v>
      </c>
      <c r="Q42" s="554">
        <v>3</v>
      </c>
      <c r="R42" s="542">
        <v>0.5</v>
      </c>
      <c r="S42" s="542">
        <v>0.2</v>
      </c>
      <c r="T42" s="542">
        <v>3</v>
      </c>
      <c r="U42" s="564">
        <v>5</v>
      </c>
      <c r="V42" s="566" t="e">
        <f t="shared" si="2"/>
        <v>#N/A</v>
      </c>
      <c r="W42" s="559">
        <f t="shared" si="3"/>
        <v>0</v>
      </c>
      <c r="X42" s="559">
        <f t="shared" si="4"/>
        <v>0</v>
      </c>
      <c r="Y42" s="559">
        <f t="shared" si="5"/>
        <v>0</v>
      </c>
      <c r="Z42" s="567">
        <f t="shared" si="6"/>
        <v>0</v>
      </c>
      <c r="AA42" s="571" t="e">
        <f t="shared" si="7"/>
        <v>#N/A</v>
      </c>
      <c r="AB42" s="558">
        <f t="shared" si="8"/>
        <v>0</v>
      </c>
      <c r="AC42" s="558">
        <f t="shared" si="9"/>
        <v>0</v>
      </c>
      <c r="AD42" s="558">
        <f t="shared" si="10"/>
        <v>0</v>
      </c>
      <c r="AE42" s="578">
        <f t="shared" si="11"/>
        <v>0</v>
      </c>
      <c r="AF42" s="582" t="e">
        <f t="shared" si="12"/>
        <v>#N/A</v>
      </c>
      <c r="AG42" s="583" t="e">
        <f t="shared" si="13"/>
        <v>#N/A</v>
      </c>
    </row>
    <row r="43" spans="1:33" x14ac:dyDescent="0.25">
      <c r="A43" s="508" t="s">
        <v>637</v>
      </c>
      <c r="B43" s="497">
        <v>77</v>
      </c>
      <c r="C43" s="510">
        <v>0.38</v>
      </c>
      <c r="D43" s="536" t="s">
        <v>729</v>
      </c>
      <c r="E43" s="506">
        <f t="shared" si="0"/>
        <v>600</v>
      </c>
      <c r="F43" s="506">
        <f t="shared" si="1"/>
        <v>130</v>
      </c>
      <c r="G43" s="506">
        <v>365</v>
      </c>
      <c r="H43" s="510">
        <v>0.25</v>
      </c>
      <c r="I43" s="510">
        <v>0.75</v>
      </c>
      <c r="J43" s="510">
        <v>0</v>
      </c>
      <c r="K43" s="510">
        <v>0</v>
      </c>
      <c r="M43" s="547" t="s">
        <v>753</v>
      </c>
      <c r="N43" s="543">
        <v>2.5</v>
      </c>
      <c r="O43" s="556">
        <f>IF(Metrics!$D$36="No",2.5,1.5)</f>
        <v>2.5</v>
      </c>
      <c r="P43" s="548">
        <f>300/60</f>
        <v>5</v>
      </c>
      <c r="Q43" s="554">
        <v>0.1</v>
      </c>
      <c r="R43" s="542">
        <v>0</v>
      </c>
      <c r="S43" s="542">
        <v>0</v>
      </c>
      <c r="T43" s="542">
        <v>0</v>
      </c>
      <c r="U43" s="564">
        <v>1</v>
      </c>
      <c r="V43" s="566" t="e">
        <f t="shared" si="2"/>
        <v>#N/A</v>
      </c>
      <c r="W43" s="559">
        <f t="shared" si="3"/>
        <v>0</v>
      </c>
      <c r="X43" s="559">
        <f t="shared" si="4"/>
        <v>0</v>
      </c>
      <c r="Y43" s="559">
        <f t="shared" si="5"/>
        <v>0</v>
      </c>
      <c r="Z43" s="567">
        <f t="shared" si="6"/>
        <v>0</v>
      </c>
      <c r="AA43" s="571" t="e">
        <f t="shared" si="7"/>
        <v>#N/A</v>
      </c>
      <c r="AB43" s="558">
        <f t="shared" si="8"/>
        <v>0</v>
      </c>
      <c r="AC43" s="558">
        <f t="shared" si="9"/>
        <v>0</v>
      </c>
      <c r="AD43" s="558">
        <f t="shared" si="10"/>
        <v>0</v>
      </c>
      <c r="AE43" s="578">
        <f t="shared" si="11"/>
        <v>0</v>
      </c>
      <c r="AF43" s="582" t="e">
        <f t="shared" si="12"/>
        <v>#N/A</v>
      </c>
      <c r="AG43" s="583" t="e">
        <f t="shared" si="13"/>
        <v>#N/A</v>
      </c>
    </row>
    <row r="44" spans="1:33" x14ac:dyDescent="0.25">
      <c r="A44" s="508" t="s">
        <v>638</v>
      </c>
      <c r="B44" s="497">
        <v>44</v>
      </c>
      <c r="C44" s="510">
        <v>0.66</v>
      </c>
      <c r="D44" s="536" t="s">
        <v>734</v>
      </c>
      <c r="E44" s="506">
        <f t="shared" si="0"/>
        <v>2500</v>
      </c>
      <c r="F44" s="506">
        <f t="shared" si="1"/>
        <v>0</v>
      </c>
      <c r="G44" s="506">
        <v>250</v>
      </c>
      <c r="H44" s="510">
        <v>0</v>
      </c>
      <c r="I44" s="510">
        <v>0</v>
      </c>
      <c r="J44" s="510">
        <v>0</v>
      </c>
      <c r="K44" s="510">
        <v>0</v>
      </c>
      <c r="M44" s="547" t="s">
        <v>754</v>
      </c>
      <c r="N44" s="543">
        <v>2.2000000000000002</v>
      </c>
      <c r="O44" s="556">
        <f>IF(Metrics!$D$36="No",2.2,1.8)</f>
        <v>2.2000000000000002</v>
      </c>
      <c r="P44" s="548">
        <v>0.25</v>
      </c>
      <c r="Q44" s="554">
        <v>1</v>
      </c>
      <c r="R44" s="542">
        <v>0</v>
      </c>
      <c r="S44" s="542">
        <v>0</v>
      </c>
      <c r="T44" s="542">
        <v>0</v>
      </c>
      <c r="U44" s="564">
        <v>4</v>
      </c>
      <c r="V44" s="566" t="e">
        <f t="shared" si="2"/>
        <v>#N/A</v>
      </c>
      <c r="W44" s="559">
        <f t="shared" si="3"/>
        <v>0</v>
      </c>
      <c r="X44" s="559">
        <f t="shared" si="4"/>
        <v>0</v>
      </c>
      <c r="Y44" s="559">
        <f t="shared" si="5"/>
        <v>0</v>
      </c>
      <c r="Z44" s="567">
        <f t="shared" si="6"/>
        <v>0</v>
      </c>
      <c r="AA44" s="571" t="e">
        <f t="shared" si="7"/>
        <v>#N/A</v>
      </c>
      <c r="AB44" s="558">
        <f t="shared" si="8"/>
        <v>0</v>
      </c>
      <c r="AC44" s="558">
        <f t="shared" si="9"/>
        <v>0</v>
      </c>
      <c r="AD44" s="558">
        <f t="shared" si="10"/>
        <v>0</v>
      </c>
      <c r="AE44" s="578">
        <f t="shared" si="11"/>
        <v>0</v>
      </c>
      <c r="AF44" s="582" t="e">
        <f t="shared" si="12"/>
        <v>#N/A</v>
      </c>
      <c r="AG44" s="583" t="e">
        <f t="shared" si="13"/>
        <v>#N/A</v>
      </c>
    </row>
    <row r="45" spans="1:33" x14ac:dyDescent="0.25">
      <c r="A45" s="508" t="s">
        <v>639</v>
      </c>
      <c r="B45" s="497">
        <v>26</v>
      </c>
      <c r="C45" s="510">
        <v>0.66</v>
      </c>
      <c r="D45" s="536" t="s">
        <v>735</v>
      </c>
      <c r="E45" s="506">
        <f t="shared" si="0"/>
        <v>20000</v>
      </c>
      <c r="F45" s="506">
        <f t="shared" si="1"/>
        <v>0</v>
      </c>
      <c r="G45" s="506">
        <v>250</v>
      </c>
      <c r="H45" s="510">
        <v>0</v>
      </c>
      <c r="I45" s="510">
        <v>0</v>
      </c>
      <c r="J45" s="510">
        <v>0</v>
      </c>
      <c r="K45" s="510">
        <v>0</v>
      </c>
      <c r="M45" s="547" t="s">
        <v>759</v>
      </c>
      <c r="N45" s="543">
        <v>2.2000000000000002</v>
      </c>
      <c r="O45" s="556">
        <v>1.5</v>
      </c>
      <c r="P45" s="548">
        <v>1</v>
      </c>
      <c r="Q45" s="554">
        <v>0</v>
      </c>
      <c r="R45" s="542">
        <v>0</v>
      </c>
      <c r="S45" s="542">
        <v>0</v>
      </c>
      <c r="T45" s="542">
        <v>0</v>
      </c>
      <c r="U45" s="564">
        <v>5</v>
      </c>
      <c r="V45" s="566" t="e">
        <f t="shared" si="2"/>
        <v>#N/A</v>
      </c>
      <c r="W45" s="559">
        <f t="shared" si="3"/>
        <v>0</v>
      </c>
      <c r="X45" s="559">
        <f t="shared" si="4"/>
        <v>0</v>
      </c>
      <c r="Y45" s="559">
        <f t="shared" si="5"/>
        <v>0</v>
      </c>
      <c r="Z45" s="567">
        <f t="shared" si="6"/>
        <v>0</v>
      </c>
      <c r="AA45" s="571" t="e">
        <f t="shared" si="7"/>
        <v>#N/A</v>
      </c>
      <c r="AB45" s="558">
        <f t="shared" si="8"/>
        <v>0</v>
      </c>
      <c r="AC45" s="558">
        <f t="shared" si="9"/>
        <v>0</v>
      </c>
      <c r="AD45" s="558">
        <f t="shared" si="10"/>
        <v>0</v>
      </c>
      <c r="AE45" s="578">
        <f t="shared" si="11"/>
        <v>0</v>
      </c>
      <c r="AF45" s="582" t="e">
        <f t="shared" si="12"/>
        <v>#N/A</v>
      </c>
      <c r="AG45" s="583" t="e">
        <f t="shared" si="13"/>
        <v>#N/A</v>
      </c>
    </row>
    <row r="46" spans="1:33" x14ac:dyDescent="0.25">
      <c r="A46" s="508" t="s">
        <v>640</v>
      </c>
      <c r="B46" s="497">
        <v>31</v>
      </c>
      <c r="C46" s="510">
        <v>0.66</v>
      </c>
      <c r="D46" s="536" t="s">
        <v>735</v>
      </c>
      <c r="E46" s="506">
        <f t="shared" si="0"/>
        <v>20000</v>
      </c>
      <c r="F46" s="506">
        <f t="shared" si="1"/>
        <v>0</v>
      </c>
      <c r="G46" s="506">
        <v>250</v>
      </c>
      <c r="H46" s="510">
        <v>0</v>
      </c>
      <c r="I46" s="510">
        <v>0</v>
      </c>
      <c r="J46" s="510">
        <v>0</v>
      </c>
      <c r="K46" s="510">
        <v>0</v>
      </c>
      <c r="M46" s="547" t="s">
        <v>760</v>
      </c>
      <c r="N46" s="543">
        <v>2.5</v>
      </c>
      <c r="O46" s="556">
        <v>2</v>
      </c>
      <c r="P46" s="548">
        <f>480/60</f>
        <v>8</v>
      </c>
      <c r="Q46" s="554">
        <v>0</v>
      </c>
      <c r="R46" s="542">
        <v>0</v>
      </c>
      <c r="S46" s="542">
        <v>0</v>
      </c>
      <c r="T46" s="542">
        <v>0</v>
      </c>
      <c r="U46" s="564">
        <v>1</v>
      </c>
      <c r="V46" s="566" t="e">
        <f t="shared" si="2"/>
        <v>#N/A</v>
      </c>
      <c r="W46" s="559">
        <f t="shared" si="3"/>
        <v>0</v>
      </c>
      <c r="X46" s="559">
        <f t="shared" si="4"/>
        <v>0</v>
      </c>
      <c r="Y46" s="559">
        <f t="shared" si="5"/>
        <v>0</v>
      </c>
      <c r="Z46" s="567">
        <f t="shared" si="6"/>
        <v>0</v>
      </c>
      <c r="AA46" s="571" t="e">
        <f t="shared" si="7"/>
        <v>#N/A</v>
      </c>
      <c r="AB46" s="558">
        <f t="shared" si="8"/>
        <v>0</v>
      </c>
      <c r="AC46" s="558">
        <f t="shared" si="9"/>
        <v>0</v>
      </c>
      <c r="AD46" s="558">
        <f t="shared" si="10"/>
        <v>0</v>
      </c>
      <c r="AE46" s="578">
        <f t="shared" si="11"/>
        <v>0</v>
      </c>
      <c r="AF46" s="582" t="e">
        <f t="shared" si="12"/>
        <v>#N/A</v>
      </c>
      <c r="AG46" s="583" t="e">
        <f t="shared" si="13"/>
        <v>#N/A</v>
      </c>
    </row>
    <row r="47" spans="1:33" ht="15.75" thickBot="1" x14ac:dyDescent="0.3">
      <c r="A47" s="508" t="s">
        <v>641</v>
      </c>
      <c r="B47" s="497">
        <v>127</v>
      </c>
      <c r="C47" s="510">
        <v>0.66</v>
      </c>
      <c r="D47" s="536" t="s">
        <v>735</v>
      </c>
      <c r="E47" s="506">
        <f t="shared" si="0"/>
        <v>20000</v>
      </c>
      <c r="F47" s="506">
        <f t="shared" si="1"/>
        <v>0</v>
      </c>
      <c r="G47" s="506">
        <v>250</v>
      </c>
      <c r="H47" s="510">
        <v>0</v>
      </c>
      <c r="I47" s="510">
        <v>0</v>
      </c>
      <c r="J47" s="510">
        <v>0</v>
      </c>
      <c r="K47" s="510">
        <v>0</v>
      </c>
      <c r="M47" s="549" t="s">
        <v>761</v>
      </c>
      <c r="N47" s="550">
        <v>2.2000000000000002</v>
      </c>
      <c r="O47" s="557">
        <f>IF(OR(Metrics!$D$36="No",Metrics!$D$36="No Plbg Scope"),2.2,1.8)</f>
        <v>2.2000000000000002</v>
      </c>
      <c r="P47" s="552">
        <v>1</v>
      </c>
      <c r="Q47" s="555">
        <v>0</v>
      </c>
      <c r="R47" s="551">
        <v>0</v>
      </c>
      <c r="S47" s="551">
        <v>0</v>
      </c>
      <c r="T47" s="551">
        <v>0</v>
      </c>
      <c r="U47" s="565">
        <v>4</v>
      </c>
      <c r="V47" s="568" t="e">
        <f t="shared" si="2"/>
        <v>#N/A</v>
      </c>
      <c r="W47" s="569">
        <f t="shared" si="3"/>
        <v>0</v>
      </c>
      <c r="X47" s="569">
        <f t="shared" si="4"/>
        <v>0</v>
      </c>
      <c r="Y47" s="569">
        <f t="shared" si="5"/>
        <v>0</v>
      </c>
      <c r="Z47" s="570">
        <f t="shared" si="6"/>
        <v>0</v>
      </c>
      <c r="AA47" s="572" t="e">
        <f t="shared" si="7"/>
        <v>#N/A</v>
      </c>
      <c r="AB47" s="573">
        <f t="shared" si="8"/>
        <v>0</v>
      </c>
      <c r="AC47" s="573">
        <f t="shared" si="9"/>
        <v>0</v>
      </c>
      <c r="AD47" s="573">
        <f t="shared" si="10"/>
        <v>0</v>
      </c>
      <c r="AE47" s="579">
        <f t="shared" si="11"/>
        <v>0</v>
      </c>
      <c r="AF47" s="584" t="e">
        <f t="shared" si="12"/>
        <v>#N/A</v>
      </c>
      <c r="AG47" s="585" t="e">
        <f t="shared" si="13"/>
        <v>#N/A</v>
      </c>
    </row>
    <row r="48" spans="1:33" ht="15.75" thickBot="1" x14ac:dyDescent="0.3">
      <c r="A48" s="508" t="s">
        <v>642</v>
      </c>
      <c r="B48" s="497">
        <v>4</v>
      </c>
      <c r="C48" s="510">
        <v>0.66</v>
      </c>
      <c r="D48" s="536" t="s">
        <v>735</v>
      </c>
      <c r="E48" s="506">
        <f t="shared" si="0"/>
        <v>20000</v>
      </c>
      <c r="F48" s="506">
        <f t="shared" si="1"/>
        <v>0</v>
      </c>
      <c r="G48" s="506">
        <v>250</v>
      </c>
      <c r="H48" s="510">
        <v>0</v>
      </c>
      <c r="I48" s="510">
        <v>0</v>
      </c>
      <c r="J48" s="510">
        <v>0</v>
      </c>
      <c r="K48" s="510">
        <v>0</v>
      </c>
      <c r="P48" s="490"/>
      <c r="Q48" s="533"/>
      <c r="AA48" s="495"/>
      <c r="AB48" s="495"/>
      <c r="AC48" s="495"/>
      <c r="AD48" s="495"/>
      <c r="AE48" s="495"/>
      <c r="AF48" s="588" t="e">
        <f>SUM(AF38:AF47)</f>
        <v>#N/A</v>
      </c>
      <c r="AG48" s="589" t="e">
        <f>SUM(AG38:AG47)</f>
        <v>#N/A</v>
      </c>
    </row>
  </sheetData>
  <sheetProtection algorithmName="SHA-512" hashValue="C/nr4+4IbLmz8Fj3yMu1R6nEx2wy2S3YyvaWBwC963N+BrwxUyjWk/s2sL1Y0OiGzoVlbormfy1/ekKczIDGyw==" saltValue="bxYTrbtp7Gb4lPPzFg6fqg==" spinCount="100000" sheet="1" objects="1" scenarios="1" selectLockedCells="1"/>
  <mergeCells count="3">
    <mergeCell ref="AA36:AE36"/>
    <mergeCell ref="V36:Z36"/>
    <mergeCell ref="M36:U36"/>
  </mergeCells>
  <dataValidations count="1">
    <dataValidation type="list" allowBlank="1" showInputMessage="1" showErrorMessage="1" sqref="D2:D48">
      <formula1>USGBC_Building_Type</formula1>
    </dataValidation>
  </dataValidations>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1"/>
  <sheetViews>
    <sheetView workbookViewId="0">
      <selection activeCell="B4" sqref="B4:B11"/>
    </sheetView>
  </sheetViews>
  <sheetFormatPr defaultColWidth="9.140625" defaultRowHeight="12.75" x14ac:dyDescent="0.2"/>
  <cols>
    <col min="1" max="1" width="19.7109375" style="479" customWidth="1"/>
    <col min="2" max="2" width="64.85546875" style="479" bestFit="1" customWidth="1"/>
    <col min="3" max="3" width="31.5703125" style="479" bestFit="1" customWidth="1"/>
    <col min="4" max="16384" width="9.140625" style="479"/>
  </cols>
  <sheetData>
    <row r="1" spans="1:4" x14ac:dyDescent="0.2">
      <c r="A1" s="939" t="s">
        <v>476</v>
      </c>
      <c r="B1" s="941" t="s">
        <v>480</v>
      </c>
      <c r="C1" s="478" t="s">
        <v>481</v>
      </c>
    </row>
    <row r="2" spans="1:4" x14ac:dyDescent="0.2">
      <c r="A2" s="940"/>
      <c r="B2" s="942"/>
      <c r="C2" s="480" t="s">
        <v>482</v>
      </c>
    </row>
    <row r="3" spans="1:4" x14ac:dyDescent="0.2">
      <c r="A3" s="940"/>
      <c r="B3" s="942"/>
      <c r="C3" s="480" t="s">
        <v>483</v>
      </c>
    </row>
    <row r="4" spans="1:4" x14ac:dyDescent="0.2">
      <c r="A4" s="936" t="s">
        <v>484</v>
      </c>
      <c r="B4" s="937" t="s">
        <v>485</v>
      </c>
      <c r="C4" s="481" t="s">
        <v>486</v>
      </c>
    </row>
    <row r="5" spans="1:4" x14ac:dyDescent="0.2">
      <c r="A5" s="936"/>
      <c r="B5" s="937"/>
      <c r="C5" s="481" t="s">
        <v>487</v>
      </c>
    </row>
    <row r="6" spans="1:4" x14ac:dyDescent="0.2">
      <c r="A6" s="936"/>
      <c r="B6" s="937"/>
      <c r="C6" s="481" t="s">
        <v>488</v>
      </c>
    </row>
    <row r="7" spans="1:4" x14ac:dyDescent="0.2">
      <c r="A7" s="936"/>
      <c r="B7" s="937"/>
      <c r="C7" s="481" t="s">
        <v>489</v>
      </c>
    </row>
    <row r="8" spans="1:4" x14ac:dyDescent="0.2">
      <c r="A8" s="936"/>
      <c r="B8" s="937"/>
      <c r="C8" s="481" t="s">
        <v>490</v>
      </c>
    </row>
    <row r="9" spans="1:4" x14ac:dyDescent="0.2">
      <c r="A9" s="936"/>
      <c r="B9" s="937"/>
      <c r="C9" s="481" t="s">
        <v>491</v>
      </c>
      <c r="D9" s="482"/>
    </row>
    <row r="10" spans="1:4" x14ac:dyDescent="0.2">
      <c r="A10" s="936"/>
      <c r="B10" s="937"/>
      <c r="C10" s="481" t="s">
        <v>492</v>
      </c>
    </row>
    <row r="11" spans="1:4" x14ac:dyDescent="0.2">
      <c r="A11" s="936"/>
      <c r="B11" s="937"/>
      <c r="C11" s="483"/>
    </row>
    <row r="12" spans="1:4" x14ac:dyDescent="0.2">
      <c r="A12" s="930" t="s">
        <v>493</v>
      </c>
      <c r="B12" s="938" t="s">
        <v>494</v>
      </c>
      <c r="C12" s="484" t="s">
        <v>495</v>
      </c>
    </row>
    <row r="13" spans="1:4" ht="25.5" x14ac:dyDescent="0.2">
      <c r="A13" s="930"/>
      <c r="B13" s="938"/>
      <c r="C13" s="484" t="s">
        <v>496</v>
      </c>
    </row>
    <row r="14" spans="1:4" x14ac:dyDescent="0.2">
      <c r="A14" s="930"/>
      <c r="B14" s="938"/>
      <c r="C14" s="484" t="s">
        <v>497</v>
      </c>
    </row>
    <row r="15" spans="1:4" x14ac:dyDescent="0.2">
      <c r="A15" s="930"/>
      <c r="B15" s="938"/>
      <c r="C15" s="485"/>
    </row>
    <row r="16" spans="1:4" x14ac:dyDescent="0.2">
      <c r="A16" s="936" t="s">
        <v>498</v>
      </c>
      <c r="B16" s="937" t="s">
        <v>499</v>
      </c>
      <c r="C16" s="481" t="s">
        <v>500</v>
      </c>
    </row>
    <row r="17" spans="1:3" x14ac:dyDescent="0.2">
      <c r="A17" s="936"/>
      <c r="B17" s="937"/>
      <c r="C17" s="481" t="s">
        <v>501</v>
      </c>
    </row>
    <row r="18" spans="1:3" x14ac:dyDescent="0.2">
      <c r="A18" s="936"/>
      <c r="B18" s="937"/>
      <c r="C18" s="483"/>
    </row>
    <row r="19" spans="1:3" x14ac:dyDescent="0.2">
      <c r="A19" s="930" t="s">
        <v>502</v>
      </c>
      <c r="B19" s="938" t="s">
        <v>503</v>
      </c>
      <c r="C19" s="484" t="s">
        <v>504</v>
      </c>
    </row>
    <row r="20" spans="1:3" x14ac:dyDescent="0.2">
      <c r="A20" s="930"/>
      <c r="B20" s="938"/>
      <c r="C20" s="484" t="s">
        <v>505</v>
      </c>
    </row>
    <row r="21" spans="1:3" x14ac:dyDescent="0.2">
      <c r="A21" s="930"/>
      <c r="B21" s="938"/>
      <c r="C21" s="485"/>
    </row>
    <row r="22" spans="1:3" ht="25.5" x14ac:dyDescent="0.2">
      <c r="A22" s="936" t="s">
        <v>506</v>
      </c>
      <c r="B22" s="937" t="s">
        <v>507</v>
      </c>
      <c r="C22" s="481" t="s">
        <v>508</v>
      </c>
    </row>
    <row r="23" spans="1:3" ht="25.5" x14ac:dyDescent="0.2">
      <c r="A23" s="936"/>
      <c r="B23" s="937"/>
      <c r="C23" s="481" t="s">
        <v>509</v>
      </c>
    </row>
    <row r="24" spans="1:3" x14ac:dyDescent="0.2">
      <c r="A24" s="936"/>
      <c r="B24" s="937"/>
      <c r="C24" s="481" t="s">
        <v>510</v>
      </c>
    </row>
    <row r="25" spans="1:3" x14ac:dyDescent="0.2">
      <c r="A25" s="936"/>
      <c r="B25" s="937"/>
      <c r="C25" s="481" t="s">
        <v>511</v>
      </c>
    </row>
    <row r="26" spans="1:3" x14ac:dyDescent="0.2">
      <c r="A26" s="936"/>
      <c r="B26" s="937"/>
      <c r="C26" s="483"/>
    </row>
    <row r="27" spans="1:3" x14ac:dyDescent="0.2">
      <c r="A27" s="930" t="s">
        <v>512</v>
      </c>
      <c r="B27" s="938" t="s">
        <v>513</v>
      </c>
      <c r="C27" s="484" t="s">
        <v>514</v>
      </c>
    </row>
    <row r="28" spans="1:3" x14ac:dyDescent="0.2">
      <c r="A28" s="930"/>
      <c r="B28" s="938"/>
      <c r="C28" s="484" t="s">
        <v>515</v>
      </c>
    </row>
    <row r="29" spans="1:3" x14ac:dyDescent="0.2">
      <c r="A29" s="930"/>
      <c r="B29" s="938"/>
      <c r="C29" s="484" t="s">
        <v>516</v>
      </c>
    </row>
    <row r="30" spans="1:3" x14ac:dyDescent="0.2">
      <c r="A30" s="930"/>
      <c r="B30" s="938"/>
      <c r="C30" s="484" t="s">
        <v>517</v>
      </c>
    </row>
    <row r="31" spans="1:3" ht="25.5" x14ac:dyDescent="0.2">
      <c r="A31" s="930"/>
      <c r="B31" s="938"/>
      <c r="C31" s="484" t="s">
        <v>518</v>
      </c>
    </row>
    <row r="32" spans="1:3" x14ac:dyDescent="0.2">
      <c r="A32" s="930"/>
      <c r="B32" s="938"/>
      <c r="C32" s="484" t="s">
        <v>519</v>
      </c>
    </row>
    <row r="33" spans="1:4" ht="25.5" x14ac:dyDescent="0.2">
      <c r="A33" s="930"/>
      <c r="B33" s="938"/>
      <c r="C33" s="484" t="s">
        <v>520</v>
      </c>
    </row>
    <row r="34" spans="1:4" x14ac:dyDescent="0.2">
      <c r="A34" s="930"/>
      <c r="B34" s="938"/>
      <c r="C34" s="484" t="s">
        <v>521</v>
      </c>
    </row>
    <row r="35" spans="1:4" x14ac:dyDescent="0.2">
      <c r="A35" s="930"/>
      <c r="B35" s="938"/>
      <c r="C35" s="485"/>
    </row>
    <row r="36" spans="1:4" x14ac:dyDescent="0.2">
      <c r="A36" s="936" t="s">
        <v>522</v>
      </c>
      <c r="B36" s="937" t="s">
        <v>523</v>
      </c>
      <c r="C36" s="481" t="s">
        <v>524</v>
      </c>
    </row>
    <row r="37" spans="1:4" x14ac:dyDescent="0.2">
      <c r="A37" s="936"/>
      <c r="B37" s="937"/>
      <c r="C37" s="481" t="s">
        <v>525</v>
      </c>
    </row>
    <row r="38" spans="1:4" x14ac:dyDescent="0.2">
      <c r="A38" s="936"/>
      <c r="B38" s="937"/>
      <c r="C38" s="481" t="s">
        <v>526</v>
      </c>
    </row>
    <row r="39" spans="1:4" ht="25.5" x14ac:dyDescent="0.2">
      <c r="A39" s="936"/>
      <c r="B39" s="937"/>
      <c r="C39" s="481" t="s">
        <v>527</v>
      </c>
    </row>
    <row r="40" spans="1:4" x14ac:dyDescent="0.2">
      <c r="A40" s="936"/>
      <c r="B40" s="937"/>
      <c r="C40" s="481" t="s">
        <v>528</v>
      </c>
    </row>
    <row r="41" spans="1:4" x14ac:dyDescent="0.2">
      <c r="A41" s="936"/>
      <c r="B41" s="937"/>
      <c r="C41" s="483"/>
    </row>
    <row r="42" spans="1:4" x14ac:dyDescent="0.2">
      <c r="A42" s="930" t="s">
        <v>529</v>
      </c>
      <c r="B42" s="938" t="s">
        <v>530</v>
      </c>
      <c r="C42" s="484" t="s">
        <v>531</v>
      </c>
    </row>
    <row r="43" spans="1:4" x14ac:dyDescent="0.2">
      <c r="A43" s="930"/>
      <c r="B43" s="938"/>
      <c r="C43" s="484" t="s">
        <v>532</v>
      </c>
    </row>
    <row r="44" spans="1:4" x14ac:dyDescent="0.2">
      <c r="A44" s="930"/>
      <c r="B44" s="938"/>
      <c r="C44" s="485"/>
    </row>
    <row r="45" spans="1:4" ht="25.5" x14ac:dyDescent="0.2">
      <c r="A45" s="936" t="s">
        <v>533</v>
      </c>
      <c r="B45" s="937" t="s">
        <v>534</v>
      </c>
      <c r="C45" s="481" t="s">
        <v>535</v>
      </c>
      <c r="D45" s="482"/>
    </row>
    <row r="46" spans="1:4" x14ac:dyDescent="0.2">
      <c r="A46" s="936"/>
      <c r="B46" s="937"/>
      <c r="C46" s="481" t="s">
        <v>536</v>
      </c>
    </row>
    <row r="47" spans="1:4" x14ac:dyDescent="0.2">
      <c r="A47" s="936"/>
      <c r="B47" s="937"/>
      <c r="C47" s="481" t="s">
        <v>537</v>
      </c>
    </row>
    <row r="48" spans="1:4" x14ac:dyDescent="0.2">
      <c r="A48" s="936"/>
      <c r="B48" s="937"/>
      <c r="C48" s="481" t="s">
        <v>538</v>
      </c>
    </row>
    <row r="49" spans="1:4" ht="25.5" x14ac:dyDescent="0.2">
      <c r="A49" s="936"/>
      <c r="B49" s="937"/>
      <c r="C49" s="481" t="s">
        <v>508</v>
      </c>
    </row>
    <row r="50" spans="1:4" x14ac:dyDescent="0.2">
      <c r="A50" s="936"/>
      <c r="B50" s="937"/>
      <c r="C50" s="481" t="s">
        <v>539</v>
      </c>
    </row>
    <row r="51" spans="1:4" ht="25.5" x14ac:dyDescent="0.2">
      <c r="A51" s="936"/>
      <c r="B51" s="937"/>
      <c r="C51" s="481" t="s">
        <v>540</v>
      </c>
    </row>
    <row r="52" spans="1:4" x14ac:dyDescent="0.2">
      <c r="A52" s="936"/>
      <c r="B52" s="937"/>
      <c r="C52" s="481" t="s">
        <v>541</v>
      </c>
    </row>
    <row r="53" spans="1:4" x14ac:dyDescent="0.2">
      <c r="A53" s="936"/>
      <c r="B53" s="937"/>
      <c r="C53" s="481" t="s">
        <v>542</v>
      </c>
    </row>
    <row r="54" spans="1:4" x14ac:dyDescent="0.2">
      <c r="A54" s="936"/>
      <c r="B54" s="937"/>
      <c r="C54" s="481" t="s">
        <v>543</v>
      </c>
    </row>
    <row r="55" spans="1:4" x14ac:dyDescent="0.2">
      <c r="A55" s="936"/>
      <c r="B55" s="937"/>
      <c r="C55" s="481" t="s">
        <v>544</v>
      </c>
    </row>
    <row r="56" spans="1:4" x14ac:dyDescent="0.2">
      <c r="A56" s="936"/>
      <c r="B56" s="937"/>
      <c r="C56" s="481" t="s">
        <v>545</v>
      </c>
    </row>
    <row r="57" spans="1:4" x14ac:dyDescent="0.2">
      <c r="A57" s="936"/>
      <c r="B57" s="937"/>
      <c r="C57" s="483"/>
    </row>
    <row r="58" spans="1:4" ht="38.25" x14ac:dyDescent="0.2">
      <c r="A58" s="930" t="s">
        <v>546</v>
      </c>
      <c r="B58" s="938" t="s">
        <v>547</v>
      </c>
      <c r="C58" s="484" t="s">
        <v>548</v>
      </c>
    </row>
    <row r="59" spans="1:4" ht="51" x14ac:dyDescent="0.2">
      <c r="A59" s="930"/>
      <c r="B59" s="938"/>
      <c r="C59" s="484" t="s">
        <v>549</v>
      </c>
      <c r="D59" s="482"/>
    </row>
    <row r="60" spans="1:4" ht="38.25" x14ac:dyDescent="0.2">
      <c r="A60" s="930"/>
      <c r="B60" s="938"/>
      <c r="C60" s="484" t="s">
        <v>550</v>
      </c>
    </row>
    <row r="61" spans="1:4" x14ac:dyDescent="0.2">
      <c r="A61" s="930"/>
      <c r="B61" s="938"/>
      <c r="C61" s="484" t="s">
        <v>551</v>
      </c>
    </row>
    <row r="62" spans="1:4" x14ac:dyDescent="0.2">
      <c r="A62" s="930"/>
      <c r="B62" s="938"/>
      <c r="C62" s="484" t="s">
        <v>552</v>
      </c>
    </row>
    <row r="63" spans="1:4" x14ac:dyDescent="0.2">
      <c r="A63" s="930"/>
      <c r="B63" s="938"/>
      <c r="C63" s="484" t="s">
        <v>553</v>
      </c>
    </row>
    <row r="64" spans="1:4" x14ac:dyDescent="0.2">
      <c r="A64" s="930"/>
      <c r="B64" s="938"/>
      <c r="C64" s="484" t="s">
        <v>554</v>
      </c>
    </row>
    <row r="65" spans="1:3" x14ac:dyDescent="0.2">
      <c r="A65" s="930"/>
      <c r="B65" s="938"/>
      <c r="C65" s="484" t="s">
        <v>555</v>
      </c>
    </row>
    <row r="66" spans="1:3" x14ac:dyDescent="0.2">
      <c r="A66" s="930"/>
      <c r="B66" s="938"/>
      <c r="C66" s="484" t="s">
        <v>556</v>
      </c>
    </row>
    <row r="67" spans="1:3" x14ac:dyDescent="0.2">
      <c r="A67" s="930"/>
      <c r="B67" s="938"/>
      <c r="C67" s="484" t="s">
        <v>557</v>
      </c>
    </row>
    <row r="68" spans="1:3" x14ac:dyDescent="0.2">
      <c r="A68" s="930"/>
      <c r="B68" s="938"/>
      <c r="C68" s="485"/>
    </row>
    <row r="69" spans="1:3" x14ac:dyDescent="0.2">
      <c r="A69" s="936" t="s">
        <v>558</v>
      </c>
      <c r="B69" s="937" t="s">
        <v>559</v>
      </c>
      <c r="C69" s="481" t="s">
        <v>560</v>
      </c>
    </row>
    <row r="70" spans="1:3" x14ac:dyDescent="0.2">
      <c r="A70" s="936"/>
      <c r="B70" s="937"/>
      <c r="C70" s="481" t="s">
        <v>561</v>
      </c>
    </row>
    <row r="71" spans="1:3" x14ac:dyDescent="0.2">
      <c r="A71" s="936"/>
      <c r="B71" s="937"/>
      <c r="C71" s="481" t="s">
        <v>562</v>
      </c>
    </row>
    <row r="72" spans="1:3" x14ac:dyDescent="0.2">
      <c r="A72" s="936"/>
      <c r="B72" s="937"/>
      <c r="C72" s="481" t="s">
        <v>563</v>
      </c>
    </row>
    <row r="73" spans="1:3" x14ac:dyDescent="0.2">
      <c r="A73" s="936"/>
      <c r="B73" s="937"/>
      <c r="C73" s="483"/>
    </row>
    <row r="74" spans="1:3" ht="25.5" x14ac:dyDescent="0.2">
      <c r="A74" s="486" t="s">
        <v>564</v>
      </c>
      <c r="B74" s="487" t="s">
        <v>565</v>
      </c>
      <c r="C74" s="488" t="s">
        <v>566</v>
      </c>
    </row>
    <row r="75" spans="1:3" ht="25.5" x14ac:dyDescent="0.2">
      <c r="A75" s="936" t="s">
        <v>567</v>
      </c>
      <c r="B75" s="937" t="s">
        <v>568</v>
      </c>
      <c r="C75" s="481" t="s">
        <v>569</v>
      </c>
    </row>
    <row r="76" spans="1:3" ht="25.5" x14ac:dyDescent="0.2">
      <c r="A76" s="936"/>
      <c r="B76" s="937"/>
      <c r="C76" s="481" t="s">
        <v>570</v>
      </c>
    </row>
    <row r="77" spans="1:3" x14ac:dyDescent="0.2">
      <c r="A77" s="936"/>
      <c r="B77" s="937"/>
      <c r="C77" s="481" t="s">
        <v>571</v>
      </c>
    </row>
    <row r="78" spans="1:3" x14ac:dyDescent="0.2">
      <c r="A78" s="936"/>
      <c r="B78" s="937"/>
      <c r="C78" s="481" t="s">
        <v>572</v>
      </c>
    </row>
    <row r="79" spans="1:3" x14ac:dyDescent="0.2">
      <c r="A79" s="936"/>
      <c r="B79" s="937"/>
      <c r="C79" s="481" t="s">
        <v>573</v>
      </c>
    </row>
    <row r="80" spans="1:3" x14ac:dyDescent="0.2">
      <c r="A80" s="936"/>
      <c r="B80" s="937"/>
      <c r="C80" s="481" t="s">
        <v>574</v>
      </c>
    </row>
    <row r="81" spans="1:3" x14ac:dyDescent="0.2">
      <c r="A81" s="936"/>
      <c r="B81" s="937"/>
      <c r="C81" s="481" t="s">
        <v>575</v>
      </c>
    </row>
    <row r="82" spans="1:3" x14ac:dyDescent="0.2">
      <c r="A82" s="936"/>
      <c r="B82" s="937"/>
      <c r="C82" s="481" t="s">
        <v>576</v>
      </c>
    </row>
    <row r="83" spans="1:3" x14ac:dyDescent="0.2">
      <c r="A83" s="936"/>
      <c r="B83" s="937"/>
      <c r="C83" s="481" t="s">
        <v>577</v>
      </c>
    </row>
    <row r="84" spans="1:3" x14ac:dyDescent="0.2">
      <c r="A84" s="936"/>
      <c r="B84" s="937"/>
      <c r="C84" s="481" t="s">
        <v>578</v>
      </c>
    </row>
    <row r="85" spans="1:3" x14ac:dyDescent="0.2">
      <c r="A85" s="936"/>
      <c r="B85" s="937"/>
      <c r="C85" s="481" t="s">
        <v>579</v>
      </c>
    </row>
    <row r="86" spans="1:3" x14ac:dyDescent="0.2">
      <c r="A86" s="936"/>
      <c r="B86" s="937"/>
      <c r="C86" s="481" t="s">
        <v>580</v>
      </c>
    </row>
    <row r="87" spans="1:3" x14ac:dyDescent="0.2">
      <c r="A87" s="936"/>
      <c r="B87" s="937"/>
      <c r="C87" s="483"/>
    </row>
    <row r="88" spans="1:3" x14ac:dyDescent="0.2">
      <c r="A88" s="930" t="s">
        <v>581</v>
      </c>
      <c r="B88" s="938" t="s">
        <v>582</v>
      </c>
      <c r="C88" s="484" t="s">
        <v>583</v>
      </c>
    </row>
    <row r="89" spans="1:3" x14ac:dyDescent="0.2">
      <c r="A89" s="930"/>
      <c r="B89" s="938"/>
      <c r="C89" s="484" t="s">
        <v>584</v>
      </c>
    </row>
    <row r="90" spans="1:3" x14ac:dyDescent="0.2">
      <c r="A90" s="930"/>
      <c r="B90" s="938"/>
      <c r="C90" s="484" t="s">
        <v>585</v>
      </c>
    </row>
    <row r="91" spans="1:3" x14ac:dyDescent="0.2">
      <c r="A91" s="930"/>
      <c r="B91" s="938"/>
      <c r="C91" s="485"/>
    </row>
    <row r="92" spans="1:3" x14ac:dyDescent="0.2">
      <c r="A92" s="936" t="s">
        <v>119</v>
      </c>
      <c r="B92" s="937" t="s">
        <v>586</v>
      </c>
      <c r="C92" s="481" t="s">
        <v>587</v>
      </c>
    </row>
    <row r="93" spans="1:3" x14ac:dyDescent="0.2">
      <c r="A93" s="936"/>
      <c r="B93" s="937"/>
      <c r="C93" s="481" t="s">
        <v>588</v>
      </c>
    </row>
    <row r="94" spans="1:3" x14ac:dyDescent="0.2">
      <c r="A94" s="936"/>
      <c r="B94" s="937"/>
      <c r="C94" s="481" t="s">
        <v>589</v>
      </c>
    </row>
    <row r="95" spans="1:3" x14ac:dyDescent="0.2">
      <c r="A95" s="936"/>
      <c r="B95" s="937"/>
      <c r="C95" s="481" t="s">
        <v>590</v>
      </c>
    </row>
    <row r="96" spans="1:3" x14ac:dyDescent="0.2">
      <c r="A96" s="936"/>
      <c r="B96" s="937"/>
      <c r="C96" s="481" t="s">
        <v>591</v>
      </c>
    </row>
    <row r="97" spans="1:4" ht="25.5" x14ac:dyDescent="0.2">
      <c r="A97" s="936"/>
      <c r="B97" s="937"/>
      <c r="C97" s="481" t="s">
        <v>592</v>
      </c>
      <c r="D97" s="482"/>
    </row>
    <row r="98" spans="1:4" x14ac:dyDescent="0.2">
      <c r="A98" s="936"/>
      <c r="B98" s="937"/>
      <c r="C98" s="481" t="s">
        <v>593</v>
      </c>
    </row>
    <row r="99" spans="1:4" x14ac:dyDescent="0.2">
      <c r="A99" s="936"/>
      <c r="B99" s="937"/>
      <c r="C99" s="483"/>
    </row>
    <row r="100" spans="1:4" ht="38.25" customHeight="1" x14ac:dyDescent="0.2">
      <c r="A100" s="930" t="s">
        <v>594</v>
      </c>
      <c r="B100" s="932" t="s">
        <v>595</v>
      </c>
      <c r="C100" s="934" t="s">
        <v>596</v>
      </c>
    </row>
    <row r="101" spans="1:4" ht="15.75" customHeight="1" thickBot="1" x14ac:dyDescent="0.25">
      <c r="A101" s="931"/>
      <c r="B101" s="933"/>
      <c r="C101" s="935"/>
    </row>
  </sheetData>
  <sheetProtection algorithmName="SHA-512" hashValue="ccWCPU67AQKXCwEmj2TB0ejmyWnyxsRNib+ch5tsVIqE8K4J/2JXRpH2OAe8O3MwS+2NEw3m8v/nDfs2dd6gAQ==" saltValue="ntLwt6ie2CTNHGO10Tzy5A==" spinCount="100000" sheet="1" objects="1" scenarios="1"/>
  <mergeCells count="33">
    <mergeCell ref="A1:A3"/>
    <mergeCell ref="B1:B3"/>
    <mergeCell ref="A4:A11"/>
    <mergeCell ref="B4:B11"/>
    <mergeCell ref="A12:A15"/>
    <mergeCell ref="B12:B15"/>
    <mergeCell ref="A16:A18"/>
    <mergeCell ref="B16:B18"/>
    <mergeCell ref="A19:A21"/>
    <mergeCell ref="B19:B21"/>
    <mergeCell ref="A22:A26"/>
    <mergeCell ref="B22:B26"/>
    <mergeCell ref="A27:A35"/>
    <mergeCell ref="B27:B35"/>
    <mergeCell ref="A36:A41"/>
    <mergeCell ref="B36:B41"/>
    <mergeCell ref="A42:A44"/>
    <mergeCell ref="B42:B44"/>
    <mergeCell ref="A45:A57"/>
    <mergeCell ref="B45:B57"/>
    <mergeCell ref="A58:A68"/>
    <mergeCell ref="B58:B68"/>
    <mergeCell ref="A69:A73"/>
    <mergeCell ref="B69:B73"/>
    <mergeCell ref="A100:A101"/>
    <mergeCell ref="B100:B101"/>
    <mergeCell ref="C100:C101"/>
    <mergeCell ref="A75:A87"/>
    <mergeCell ref="B75:B87"/>
    <mergeCell ref="A88:A91"/>
    <mergeCell ref="B88:B91"/>
    <mergeCell ref="A92:A99"/>
    <mergeCell ref="B92:B99"/>
  </mergeCell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H83"/>
  <sheetViews>
    <sheetView zoomScaleNormal="100" zoomScaleSheetLayoutView="100" zoomScalePageLayoutView="85" workbookViewId="0">
      <selection activeCell="D6" sqref="D6:E6"/>
    </sheetView>
  </sheetViews>
  <sheetFormatPr defaultRowHeight="12.75" x14ac:dyDescent="0.2"/>
  <cols>
    <col min="1" max="1" width="4.42578125" customWidth="1"/>
    <col min="2" max="2" width="25.85546875" customWidth="1"/>
    <col min="3" max="3" width="33.42578125" customWidth="1"/>
    <col min="4" max="5" width="20.42578125" customWidth="1"/>
    <col min="6" max="6" width="10.28515625" customWidth="1"/>
    <col min="7" max="7" width="13.85546875" customWidth="1"/>
    <col min="8" max="12" width="9.140625" customWidth="1"/>
  </cols>
  <sheetData>
    <row r="1" spans="1:8" x14ac:dyDescent="0.2">
      <c r="A1" s="611"/>
      <c r="B1" s="612"/>
      <c r="C1" s="611" t="s">
        <v>696</v>
      </c>
      <c r="D1" s="611"/>
      <c r="E1" s="611"/>
      <c r="F1" s="613"/>
    </row>
    <row r="2" spans="1:8" x14ac:dyDescent="0.2">
      <c r="A2" s="611"/>
      <c r="B2" s="614"/>
      <c r="C2" s="611" t="s">
        <v>697</v>
      </c>
      <c r="D2" s="611"/>
      <c r="E2" s="611"/>
      <c r="F2" s="613"/>
    </row>
    <row r="3" spans="1:8" ht="15.75" thickBot="1" x14ac:dyDescent="0.3">
      <c r="A3" s="679" t="s">
        <v>477</v>
      </c>
      <c r="B3" s="679"/>
      <c r="C3" s="679"/>
      <c r="D3" s="679"/>
      <c r="E3" s="679"/>
      <c r="F3" s="613"/>
    </row>
    <row r="4" spans="1:8" ht="15" x14ac:dyDescent="0.25">
      <c r="A4" s="611"/>
      <c r="B4" s="690" t="s">
        <v>479</v>
      </c>
      <c r="C4" s="691"/>
      <c r="D4" s="682" t="str">
        <f>IF('HPBr Checklist'!D3="","",'HPBr Checklist'!D3)</f>
        <v/>
      </c>
      <c r="E4" s="683"/>
      <c r="F4" s="615"/>
    </row>
    <row r="5" spans="1:8" ht="15" x14ac:dyDescent="0.25">
      <c r="A5" s="611"/>
      <c r="B5" s="694" t="s">
        <v>478</v>
      </c>
      <c r="C5" s="695"/>
      <c r="D5" s="684">
        <f>'HPBr Checklist'!D4</f>
        <v>0</v>
      </c>
      <c r="E5" s="685"/>
      <c r="F5" s="613"/>
    </row>
    <row r="6" spans="1:8" ht="15" x14ac:dyDescent="0.25">
      <c r="A6" s="611"/>
      <c r="B6" s="694" t="s">
        <v>800</v>
      </c>
      <c r="C6" s="695"/>
      <c r="D6" s="686"/>
      <c r="E6" s="687"/>
      <c r="F6" s="615"/>
    </row>
    <row r="7" spans="1:8" ht="15.75" thickBot="1" x14ac:dyDescent="0.3">
      <c r="A7" s="611"/>
      <c r="B7" s="716" t="s">
        <v>689</v>
      </c>
      <c r="C7" s="717"/>
      <c r="D7" s="688"/>
      <c r="E7" s="689"/>
      <c r="F7" s="615"/>
    </row>
    <row r="8" spans="1:8" ht="14.1" customHeight="1" x14ac:dyDescent="0.25">
      <c r="A8" s="611"/>
      <c r="B8" s="616"/>
      <c r="C8" s="616"/>
      <c r="D8" s="617"/>
      <c r="E8" s="617"/>
      <c r="F8" s="615"/>
    </row>
    <row r="9" spans="1:8" ht="15.75" thickBot="1" x14ac:dyDescent="0.3">
      <c r="A9" s="700" t="s">
        <v>745</v>
      </c>
      <c r="B9" s="700"/>
      <c r="C9" s="700"/>
      <c r="D9" s="700"/>
      <c r="E9" s="701"/>
      <c r="F9" s="613"/>
    </row>
    <row r="10" spans="1:8" ht="30" customHeight="1" x14ac:dyDescent="0.25">
      <c r="A10" s="618"/>
      <c r="B10" s="702" t="s">
        <v>710</v>
      </c>
      <c r="C10" s="703"/>
      <c r="D10" s="698"/>
      <c r="E10" s="699"/>
      <c r="F10" s="613"/>
    </row>
    <row r="11" spans="1:8" ht="14.25" customHeight="1" x14ac:dyDescent="0.25">
      <c r="A11" s="618"/>
      <c r="B11" s="706" t="s">
        <v>778</v>
      </c>
      <c r="C11" s="707"/>
      <c r="D11" s="619" t="s">
        <v>662</v>
      </c>
      <c r="E11" s="620" t="str">
        <f>IF(D10="Yes","Baseline","U.S. Median")</f>
        <v>U.S. Median</v>
      </c>
      <c r="F11" s="615"/>
    </row>
    <row r="12" spans="1:8" ht="15" x14ac:dyDescent="0.25">
      <c r="A12" s="618"/>
      <c r="B12" s="621" t="s">
        <v>664</v>
      </c>
      <c r="C12" s="622" t="s">
        <v>649</v>
      </c>
      <c r="D12" s="518"/>
      <c r="E12" s="534"/>
      <c r="F12" s="615"/>
    </row>
    <row r="13" spans="1:8" ht="15" x14ac:dyDescent="0.25">
      <c r="A13" s="618"/>
      <c r="B13" s="621" t="s">
        <v>665</v>
      </c>
      <c r="C13" s="517" t="s">
        <v>650</v>
      </c>
      <c r="D13" s="518"/>
      <c r="E13" s="534"/>
      <c r="F13" s="615"/>
    </row>
    <row r="14" spans="1:8" ht="15" x14ac:dyDescent="0.25">
      <c r="A14" s="618"/>
      <c r="B14" s="621" t="s">
        <v>666</v>
      </c>
      <c r="C14" s="517"/>
      <c r="D14" s="518"/>
      <c r="E14" s="534"/>
      <c r="F14" s="615"/>
      <c r="G14" s="491"/>
      <c r="H14" s="491"/>
    </row>
    <row r="15" spans="1:8" ht="15" x14ac:dyDescent="0.25">
      <c r="A15" s="618"/>
      <c r="B15" s="621" t="s">
        <v>667</v>
      </c>
      <c r="C15" s="517"/>
      <c r="D15" s="518"/>
      <c r="E15" s="534"/>
      <c r="F15" s="615"/>
    </row>
    <row r="16" spans="1:8" ht="14.25" customHeight="1" x14ac:dyDescent="0.2">
      <c r="A16" s="618"/>
      <c r="B16" s="673" t="s">
        <v>683</v>
      </c>
      <c r="C16" s="674"/>
      <c r="D16" s="519"/>
      <c r="E16" s="535"/>
      <c r="F16" s="615"/>
    </row>
    <row r="17" spans="1:6" ht="14.25" customHeight="1" x14ac:dyDescent="0.2">
      <c r="A17" s="618"/>
      <c r="B17" s="673" t="s">
        <v>720</v>
      </c>
      <c r="C17" s="674"/>
      <c r="D17" s="680" t="e">
        <f>1-D16/E16</f>
        <v>#DIV/0!</v>
      </c>
      <c r="E17" s="681"/>
      <c r="F17" s="615"/>
    </row>
    <row r="18" spans="1:6" ht="14.25" customHeight="1" x14ac:dyDescent="0.2">
      <c r="A18" s="618"/>
      <c r="B18" s="673" t="s">
        <v>718</v>
      </c>
      <c r="C18" s="674"/>
      <c r="D18" s="692" t="e">
        <f>VLOOKUP(D17,References!$Q$1:$R$9,2,1)</f>
        <v>#DIV/0!</v>
      </c>
      <c r="E18" s="693"/>
      <c r="F18" s="623" t="s">
        <v>721</v>
      </c>
    </row>
    <row r="19" spans="1:6" ht="14.25" x14ac:dyDescent="0.2">
      <c r="A19" s="618"/>
      <c r="B19" s="673" t="s">
        <v>782</v>
      </c>
      <c r="C19" s="674"/>
      <c r="D19" s="677" t="e">
        <f>IF(D10="Yes",E24/(1-D22),E24)</f>
        <v>#N/A</v>
      </c>
      <c r="E19" s="678"/>
      <c r="F19" s="613"/>
    </row>
    <row r="20" spans="1:6" ht="14.25" x14ac:dyDescent="0.2">
      <c r="A20" s="618"/>
      <c r="B20" s="673" t="s">
        <v>783</v>
      </c>
      <c r="C20" s="674"/>
      <c r="D20" s="677" t="e">
        <f>D19*D6</f>
        <v>#N/A</v>
      </c>
      <c r="E20" s="678"/>
      <c r="F20" s="615"/>
    </row>
    <row r="21" spans="1:6" ht="14.25" customHeight="1" x14ac:dyDescent="0.2">
      <c r="A21" s="618"/>
      <c r="B21" s="696" t="s">
        <v>784</v>
      </c>
      <c r="C21" s="697"/>
      <c r="D21" s="680">
        <f>IF(D10="Yes",1-D24/D19,D22)</f>
        <v>0.42</v>
      </c>
      <c r="E21" s="681"/>
      <c r="F21" s="615"/>
    </row>
    <row r="22" spans="1:6" ht="14.25" x14ac:dyDescent="0.2">
      <c r="A22" s="618"/>
      <c r="B22" s="696" t="s">
        <v>723</v>
      </c>
      <c r="C22" s="697"/>
      <c r="D22" s="714">
        <v>0.42</v>
      </c>
      <c r="E22" s="715"/>
      <c r="F22" s="615"/>
    </row>
    <row r="23" spans="1:6" ht="14.25" x14ac:dyDescent="0.2">
      <c r="A23" s="618"/>
      <c r="B23" s="673" t="s">
        <v>671</v>
      </c>
      <c r="C23" s="674"/>
      <c r="D23" s="624" t="e">
        <f>IF(D10="Yes",SUM(D12:D15),E24*(1-D22)*D6)</f>
        <v>#N/A</v>
      </c>
      <c r="E23" s="625" t="e">
        <f>IF(D10="Yes",SUM(E12:E15),VLOOKUP(D7,References!A1:B48,2,FALSE)*D6)</f>
        <v>#N/A</v>
      </c>
      <c r="F23" s="626"/>
    </row>
    <row r="24" spans="1:6" ht="14.25" x14ac:dyDescent="0.2">
      <c r="A24" s="618"/>
      <c r="B24" s="673" t="s">
        <v>700</v>
      </c>
      <c r="C24" s="674"/>
      <c r="D24" s="624" t="e">
        <f>D23/$D$6</f>
        <v>#N/A</v>
      </c>
      <c r="E24" s="625" t="e">
        <f>E23/$D$6</f>
        <v>#N/A</v>
      </c>
      <c r="F24" s="615"/>
    </row>
    <row r="25" spans="1:6" ht="14.25" customHeight="1" x14ac:dyDescent="0.25">
      <c r="A25" s="618"/>
      <c r="B25" s="694" t="s">
        <v>701</v>
      </c>
      <c r="C25" s="695"/>
      <c r="D25" s="677" t="e">
        <f>IF(D10="Yes",D21*D20,D21*E23)</f>
        <v>#N/A</v>
      </c>
      <c r="E25" s="678"/>
      <c r="F25" s="615"/>
    </row>
    <row r="26" spans="1:6" ht="14.25" x14ac:dyDescent="0.2">
      <c r="A26" s="618"/>
      <c r="B26" s="723" t="s">
        <v>744</v>
      </c>
      <c r="C26" s="724"/>
      <c r="D26" s="724"/>
      <c r="E26" s="725"/>
      <c r="F26" s="613"/>
    </row>
    <row r="27" spans="1:6" ht="14.25" x14ac:dyDescent="0.2">
      <c r="A27" s="618"/>
      <c r="B27" s="673" t="s">
        <v>722</v>
      </c>
      <c r="C27" s="674"/>
      <c r="D27" s="714" t="e">
        <f>IF(D10="Yes",D12/D23,VLOOKUP(D7,References!A2:F48,3,))</f>
        <v>#N/A</v>
      </c>
      <c r="E27" s="715"/>
      <c r="F27" s="615"/>
    </row>
    <row r="28" spans="1:6" ht="14.25" x14ac:dyDescent="0.2">
      <c r="A28" s="618"/>
      <c r="B28" s="673" t="s">
        <v>791</v>
      </c>
      <c r="C28" s="674"/>
      <c r="D28" s="675" t="e">
        <f>IF(D10="Yes",D16,(D23*D27*0.0308)+((1-D27)*D23*0.00883))</f>
        <v>#N/A</v>
      </c>
      <c r="E28" s="676"/>
      <c r="F28" s="615"/>
    </row>
    <row r="29" spans="1:6" ht="15" customHeight="1" x14ac:dyDescent="0.2">
      <c r="A29" s="618"/>
      <c r="B29" s="673" t="s">
        <v>724</v>
      </c>
      <c r="C29" s="674"/>
      <c r="D29" s="675" t="e">
        <f>IF(D10="Yes",D16/D21,(E23*D27*0.0308)+((1-D27)*E23*0.00883))</f>
        <v>#N/A</v>
      </c>
      <c r="E29" s="676"/>
      <c r="F29" s="615"/>
    </row>
    <row r="30" spans="1:6" ht="15" customHeight="1" x14ac:dyDescent="0.25">
      <c r="A30" s="618"/>
      <c r="B30" s="706" t="s">
        <v>717</v>
      </c>
      <c r="C30" s="707"/>
      <c r="D30" s="729" t="e">
        <f>D29-D28</f>
        <v>#N/A</v>
      </c>
      <c r="E30" s="730"/>
      <c r="F30" s="615"/>
    </row>
    <row r="31" spans="1:6" ht="14.25" x14ac:dyDescent="0.2">
      <c r="A31" s="618"/>
      <c r="B31" s="723" t="s">
        <v>647</v>
      </c>
      <c r="C31" s="724"/>
      <c r="D31" s="724"/>
      <c r="E31" s="725"/>
      <c r="F31" s="613"/>
    </row>
    <row r="32" spans="1:6" ht="16.5" customHeight="1" x14ac:dyDescent="0.35">
      <c r="A32" s="618"/>
      <c r="B32" s="673" t="s">
        <v>807</v>
      </c>
      <c r="C32" s="674"/>
      <c r="D32" s="627">
        <f>D52+D53+D54+D55</f>
        <v>0</v>
      </c>
      <c r="E32" s="628">
        <f>E52+E53+E54+E55</f>
        <v>0</v>
      </c>
      <c r="F32" s="613"/>
    </row>
    <row r="33" spans="1:7" ht="16.5" thickBot="1" x14ac:dyDescent="0.35">
      <c r="A33" s="618"/>
      <c r="B33" s="708" t="s">
        <v>805</v>
      </c>
      <c r="C33" s="709"/>
      <c r="D33" s="710">
        <f>E32-D32</f>
        <v>0</v>
      </c>
      <c r="E33" s="722"/>
      <c r="F33" s="613"/>
    </row>
    <row r="34" spans="1:7" ht="15" x14ac:dyDescent="0.25">
      <c r="A34" s="618"/>
      <c r="B34" s="629"/>
      <c r="C34" s="629"/>
      <c r="D34" s="630"/>
      <c r="E34" s="617"/>
      <c r="F34" s="613"/>
    </row>
    <row r="35" spans="1:7" ht="15.75" thickBot="1" x14ac:dyDescent="0.3">
      <c r="A35" s="731" t="s">
        <v>682</v>
      </c>
      <c r="B35" s="731"/>
      <c r="C35" s="731"/>
      <c r="D35" s="731"/>
      <c r="E35" s="731"/>
      <c r="F35" s="613"/>
    </row>
    <row r="36" spans="1:7" ht="14.25" x14ac:dyDescent="0.2">
      <c r="A36" s="618"/>
      <c r="B36" s="718" t="s">
        <v>676</v>
      </c>
      <c r="C36" s="719"/>
      <c r="D36" s="720" t="str">
        <f>IF('HPBr Checklist'!R44&gt;0,"Yes","No")</f>
        <v>No</v>
      </c>
      <c r="E36" s="721"/>
      <c r="F36" s="613"/>
    </row>
    <row r="37" spans="1:7" ht="14.25" x14ac:dyDescent="0.2">
      <c r="A37" s="618"/>
      <c r="B37" s="673" t="s">
        <v>677</v>
      </c>
      <c r="C37" s="674"/>
      <c r="D37" s="712" t="str">
        <f>IF('HPBr Checklist'!R45&gt;0,"Yes","No")</f>
        <v>No</v>
      </c>
      <c r="E37" s="713"/>
      <c r="F37" s="613"/>
    </row>
    <row r="38" spans="1:7" ht="14.25" customHeight="1" x14ac:dyDescent="0.25">
      <c r="A38" s="618"/>
      <c r="B38" s="706"/>
      <c r="C38" s="707"/>
      <c r="D38" s="619" t="s">
        <v>662</v>
      </c>
      <c r="E38" s="620" t="s">
        <v>663</v>
      </c>
      <c r="F38" s="613"/>
    </row>
    <row r="39" spans="1:7" ht="32.25" customHeight="1" x14ac:dyDescent="0.2">
      <c r="A39" s="618"/>
      <c r="B39" s="673" t="s">
        <v>792</v>
      </c>
      <c r="C39" s="674"/>
      <c r="D39" s="631" t="e">
        <f>References!AG48/1000</f>
        <v>#N/A</v>
      </c>
      <c r="E39" s="632" t="e">
        <f>References!AF48/1000</f>
        <v>#N/A</v>
      </c>
      <c r="F39" s="613"/>
    </row>
    <row r="40" spans="1:7" ht="15" customHeight="1" thickBot="1" x14ac:dyDescent="0.3">
      <c r="A40" s="618"/>
      <c r="B40" s="708" t="s">
        <v>684</v>
      </c>
      <c r="C40" s="709"/>
      <c r="D40" s="710" t="e">
        <f>E39-D39</f>
        <v>#N/A</v>
      </c>
      <c r="E40" s="711"/>
      <c r="F40" s="613"/>
    </row>
    <row r="41" spans="1:7" ht="15" customHeight="1" x14ac:dyDescent="0.25">
      <c r="A41" s="618"/>
      <c r="B41" s="633"/>
      <c r="C41" s="633"/>
      <c r="D41" s="634"/>
      <c r="E41" s="634"/>
      <c r="F41" s="613"/>
    </row>
    <row r="42" spans="1:7" x14ac:dyDescent="0.2">
      <c r="A42" s="611"/>
      <c r="B42" s="611"/>
      <c r="C42" s="611"/>
      <c r="D42" s="611"/>
      <c r="E42" s="611"/>
      <c r="F42" s="613"/>
      <c r="G42" s="491"/>
    </row>
    <row r="43" spans="1:7" ht="18" thickBot="1" x14ac:dyDescent="0.3">
      <c r="A43" s="732" t="s">
        <v>793</v>
      </c>
      <c r="B43" s="732"/>
      <c r="C43" s="732"/>
      <c r="D43" s="732"/>
      <c r="E43" s="732"/>
      <c r="F43" s="613"/>
      <c r="G43" s="491"/>
    </row>
    <row r="44" spans="1:7" ht="15" x14ac:dyDescent="0.25">
      <c r="A44" s="618"/>
      <c r="B44" s="702" t="s">
        <v>643</v>
      </c>
      <c r="C44" s="703"/>
      <c r="D44" s="635">
        <f>'MR-Calculator'!F45</f>
        <v>0</v>
      </c>
      <c r="E44" s="636">
        <v>1</v>
      </c>
      <c r="F44" s="615"/>
    </row>
    <row r="45" spans="1:7" ht="15" x14ac:dyDescent="0.25">
      <c r="A45" s="618"/>
      <c r="B45" s="706" t="s">
        <v>644</v>
      </c>
      <c r="C45" s="707"/>
      <c r="D45" s="637">
        <f>'MR-Calculator'!Q45+'MR-Calculator'!T45</f>
        <v>0</v>
      </c>
      <c r="E45" s="638">
        <f>'MR-Calculator'!G49+'MR-Calculator'!G50</f>
        <v>0</v>
      </c>
      <c r="F45" s="615"/>
    </row>
    <row r="46" spans="1:7" ht="15" x14ac:dyDescent="0.25">
      <c r="A46" s="618"/>
      <c r="B46" s="706" t="s">
        <v>646</v>
      </c>
      <c r="C46" s="707"/>
      <c r="D46" s="637">
        <f>'MR-Calculator'!J45</f>
        <v>0</v>
      </c>
      <c r="E46" s="638">
        <f>'MR-Calculator'!G48</f>
        <v>0</v>
      </c>
      <c r="F46" s="615"/>
    </row>
    <row r="47" spans="1:7" ht="15.75" thickBot="1" x14ac:dyDescent="0.3">
      <c r="A47" s="618"/>
      <c r="B47" s="708" t="s">
        <v>645</v>
      </c>
      <c r="C47" s="709"/>
      <c r="D47" s="639">
        <f>'MR-Calculator'!M45</f>
        <v>0</v>
      </c>
      <c r="E47" s="640">
        <f>'MR-Calculator'!G51</f>
        <v>0</v>
      </c>
      <c r="F47" s="615"/>
    </row>
    <row r="48" spans="1:7" x14ac:dyDescent="0.2">
      <c r="A48" s="611"/>
      <c r="B48" s="611"/>
      <c r="C48" s="611"/>
      <c r="D48" s="611"/>
      <c r="E48" s="611"/>
      <c r="F48" s="613"/>
    </row>
    <row r="49" spans="1:6" ht="13.5" thickBot="1" x14ac:dyDescent="0.25">
      <c r="A49" s="611"/>
      <c r="B49" s="611"/>
      <c r="C49" s="611"/>
      <c r="D49" s="611"/>
      <c r="E49" s="611"/>
      <c r="F49" s="613"/>
    </row>
    <row r="50" spans="1:6" ht="15.75" x14ac:dyDescent="0.3">
      <c r="A50" s="611"/>
      <c r="B50" s="733" t="s">
        <v>790</v>
      </c>
      <c r="C50" s="734"/>
      <c r="D50" s="704" t="s">
        <v>806</v>
      </c>
      <c r="E50" s="705"/>
      <c r="F50" s="613"/>
    </row>
    <row r="51" spans="1:6" ht="13.5" thickBot="1" x14ac:dyDescent="0.25">
      <c r="A51" s="611"/>
      <c r="B51" s="641" t="s">
        <v>648</v>
      </c>
      <c r="C51" s="642" t="s">
        <v>661</v>
      </c>
      <c r="D51" s="643" t="s">
        <v>662</v>
      </c>
      <c r="E51" s="644" t="s">
        <v>725</v>
      </c>
      <c r="F51" s="613"/>
    </row>
    <row r="52" spans="1:6" ht="13.5" thickTop="1" x14ac:dyDescent="0.2">
      <c r="A52" s="611"/>
      <c r="B52" s="645" t="str">
        <f>IF(D10="Yes",C12,"Electricity")</f>
        <v>Electricity</v>
      </c>
      <c r="C52" s="646">
        <f>INDEX(References!$M$17:$N$32,MATCH(Metrics!$B52,References!$M$17:$M$32,0),MATCH("CO2eq Emissions (kg/Mbtu)",References!$M$17:$N$17,0))</f>
        <v>158.54</v>
      </c>
      <c r="D52" s="647">
        <f>IFERROR((IF($D$10="Yes",D12,D23*D27)*C52)/1000/1000,0)</f>
        <v>0</v>
      </c>
      <c r="E52" s="648">
        <f>IFERROR(IF($D$10="Yes",E12,D27*D20)*C52/1000/1000,0)</f>
        <v>0</v>
      </c>
      <c r="F52" s="613"/>
    </row>
    <row r="53" spans="1:6" x14ac:dyDescent="0.2">
      <c r="A53" s="611"/>
      <c r="B53" s="649" t="str">
        <f>IF(D10="Yes",C13,"Natural Gas")</f>
        <v>Natural Gas</v>
      </c>
      <c r="C53" s="646">
        <f>INDEX(References!$M$17:$N$32,MATCH(Metrics!$B53,References!$M$17:$M$32,0),MATCH("CO2eq Emissions (kg/Mbtu)",References!$M$17:$N$17,0))</f>
        <v>53.11</v>
      </c>
      <c r="D53" s="650">
        <f>IFERROR(IF($D$10="Yes",D13,D23*(1-D27))*C53/1000/1000,0)</f>
        <v>0</v>
      </c>
      <c r="E53" s="651">
        <f>IFERROR(IF($D$10="Yes",E13,E23*(1-D27))*C53/1000/1000,0)</f>
        <v>0</v>
      </c>
      <c r="F53" s="613"/>
    </row>
    <row r="54" spans="1:6" x14ac:dyDescent="0.2">
      <c r="A54" s="611"/>
      <c r="B54" s="649" t="str">
        <f>IF(D10="Yes",C14,"")</f>
        <v/>
      </c>
      <c r="C54" s="646" t="e">
        <f>INDEX(References!$M$17:$N$32,MATCH(Metrics!$B54,References!$M$17:$M$32,0),MATCH("CO2eq Emissions (kg/Mbtu)",References!$M$17:$N$17,0))</f>
        <v>#N/A</v>
      </c>
      <c r="D54" s="650">
        <f>IFERROR(IF($D$10="Yes",D14,D24*(1-D25))*C54/1000/1000,0)</f>
        <v>0</v>
      </c>
      <c r="E54" s="651">
        <f>IFERROR(IF($D$10="Yes",E14,E24*(1-D25))*C54/1000/1000,0)</f>
        <v>0</v>
      </c>
      <c r="F54" s="613"/>
    </row>
    <row r="55" spans="1:6" ht="13.5" thickBot="1" x14ac:dyDescent="0.25">
      <c r="A55" s="611"/>
      <c r="B55" s="652" t="str">
        <f>IF(D10="Yes",C15,"")</f>
        <v/>
      </c>
      <c r="C55" s="653" t="e">
        <f>INDEX(References!$M$17:$N$32,MATCH(Metrics!$B55,References!$M$17:$M$32,0),MATCH("CO2eq Emissions (kg/Mbtu)",References!$M$17:$N$17,0))</f>
        <v>#N/A</v>
      </c>
      <c r="D55" s="654">
        <f>IFERROR(IF($D$10="Yes",D15,D27*(1-D26))*C55/1000/1000,0)</f>
        <v>0</v>
      </c>
      <c r="E55" s="655">
        <f>IFERROR(IF($D$10="Yes",E15,E27*(1-D26))*C55/1000/1000,0)</f>
        <v>0</v>
      </c>
      <c r="F55" s="613"/>
    </row>
    <row r="56" spans="1:6" x14ac:dyDescent="0.2">
      <c r="A56" s="611"/>
      <c r="B56" s="611"/>
      <c r="C56" s="611"/>
      <c r="D56" s="611"/>
      <c r="E56" s="611"/>
      <c r="F56" s="613"/>
    </row>
    <row r="57" spans="1:6" x14ac:dyDescent="0.2">
      <c r="A57" s="611"/>
      <c r="B57" s="656" t="s">
        <v>797</v>
      </c>
      <c r="C57" s="656"/>
      <c r="D57" s="611"/>
      <c r="E57" s="611"/>
      <c r="F57" s="613"/>
    </row>
    <row r="58" spans="1:6" ht="29.25" customHeight="1" x14ac:dyDescent="0.2">
      <c r="A58" s="657" t="s">
        <v>690</v>
      </c>
      <c r="B58" s="727" t="s">
        <v>781</v>
      </c>
      <c r="C58" s="727"/>
      <c r="D58" s="727"/>
      <c r="E58" s="727"/>
      <c r="F58" s="613"/>
    </row>
    <row r="59" spans="1:6" x14ac:dyDescent="0.2">
      <c r="A59" s="657" t="s">
        <v>691</v>
      </c>
      <c r="B59" s="658" t="s">
        <v>747</v>
      </c>
      <c r="C59" s="659"/>
      <c r="D59" s="658"/>
      <c r="E59" s="658"/>
      <c r="F59" s="613"/>
    </row>
    <row r="60" spans="1:6" s="532" customFormat="1" ht="64.5" customHeight="1" x14ac:dyDescent="0.2">
      <c r="A60" s="657" t="s">
        <v>692</v>
      </c>
      <c r="B60" s="727" t="s">
        <v>716</v>
      </c>
      <c r="C60" s="727"/>
      <c r="D60" s="727"/>
      <c r="E60" s="727"/>
      <c r="F60" s="660"/>
    </row>
    <row r="61" spans="1:6" s="532" customFormat="1" ht="27.75" customHeight="1" x14ac:dyDescent="0.2">
      <c r="A61" s="657" t="s">
        <v>693</v>
      </c>
      <c r="B61" s="727" t="s">
        <v>795</v>
      </c>
      <c r="C61" s="727"/>
      <c r="D61" s="727"/>
      <c r="E61" s="727"/>
      <c r="F61" s="660"/>
    </row>
    <row r="62" spans="1:6" x14ac:dyDescent="0.2">
      <c r="A62" s="657" t="s">
        <v>694</v>
      </c>
      <c r="B62" s="658" t="s">
        <v>803</v>
      </c>
      <c r="C62" s="659"/>
      <c r="D62" s="658"/>
      <c r="E62" s="658"/>
      <c r="F62" s="613"/>
    </row>
    <row r="63" spans="1:6" s="527" customFormat="1" ht="43.5" customHeight="1" x14ac:dyDescent="0.2">
      <c r="A63" s="657" t="s">
        <v>695</v>
      </c>
      <c r="B63" s="728" t="s">
        <v>785</v>
      </c>
      <c r="C63" s="728"/>
      <c r="D63" s="728"/>
      <c r="E63" s="728"/>
      <c r="F63" s="661"/>
    </row>
    <row r="64" spans="1:6" x14ac:dyDescent="0.2">
      <c r="A64" s="657" t="s">
        <v>794</v>
      </c>
      <c r="B64" s="658" t="s">
        <v>786</v>
      </c>
      <c r="C64" s="659"/>
      <c r="D64" s="658"/>
      <c r="E64" s="658"/>
      <c r="F64" s="613"/>
    </row>
    <row r="65" spans="1:5" ht="102.75" customHeight="1" x14ac:dyDescent="0.2">
      <c r="A65" s="657" t="s">
        <v>796</v>
      </c>
      <c r="B65" s="726" t="s">
        <v>798</v>
      </c>
      <c r="C65" s="726"/>
      <c r="D65" s="726"/>
      <c r="E65" s="726"/>
    </row>
    <row r="66" spans="1:5" x14ac:dyDescent="0.2">
      <c r="B66" s="516"/>
    </row>
    <row r="67" spans="1:5" x14ac:dyDescent="0.2">
      <c r="B67" s="516"/>
    </row>
    <row r="68" spans="1:5" x14ac:dyDescent="0.2">
      <c r="B68" s="516"/>
    </row>
    <row r="69" spans="1:5" x14ac:dyDescent="0.2">
      <c r="B69" s="516"/>
    </row>
    <row r="70" spans="1:5" x14ac:dyDescent="0.2">
      <c r="B70" s="516"/>
    </row>
    <row r="71" spans="1:5" x14ac:dyDescent="0.2">
      <c r="B71" s="516"/>
    </row>
    <row r="72" spans="1:5" x14ac:dyDescent="0.2">
      <c r="B72" s="516"/>
    </row>
    <row r="73" spans="1:5" x14ac:dyDescent="0.2">
      <c r="B73" s="516"/>
    </row>
    <row r="74" spans="1:5" x14ac:dyDescent="0.2">
      <c r="B74" s="516"/>
    </row>
    <row r="75" spans="1:5" x14ac:dyDescent="0.2">
      <c r="B75" s="516"/>
    </row>
    <row r="76" spans="1:5" x14ac:dyDescent="0.2">
      <c r="B76" s="516"/>
    </row>
    <row r="77" spans="1:5" x14ac:dyDescent="0.2">
      <c r="B77" s="516"/>
    </row>
    <row r="78" spans="1:5" x14ac:dyDescent="0.2">
      <c r="B78" s="516"/>
    </row>
    <row r="79" spans="1:5" x14ac:dyDescent="0.2">
      <c r="B79" s="516"/>
    </row>
    <row r="80" spans="1:5" x14ac:dyDescent="0.2">
      <c r="B80" s="516"/>
    </row>
    <row r="81" spans="2:2" x14ac:dyDescent="0.2">
      <c r="B81" s="516"/>
    </row>
    <row r="82" spans="2:2" x14ac:dyDescent="0.2">
      <c r="B82" s="516"/>
    </row>
    <row r="83" spans="2:2" x14ac:dyDescent="0.2">
      <c r="B83" s="516"/>
    </row>
  </sheetData>
  <sheetProtection algorithmName="SHA-512" hashValue="+J5yxziwL9sx+OnwYkbMjRs8GiiRIWChp+3Mwzp1c7NwmCRzLJtBSIgLolQqU3yRzP7LU+nKXJ+PQPN6nLCoqA==" saltValue="BJgwFMjh0WIwBjKse7EL6Q==" spinCount="100000" sheet="1" objects="1" scenarios="1" selectLockedCells="1"/>
  <dataConsolidate/>
  <mergeCells count="64">
    <mergeCell ref="B65:E65"/>
    <mergeCell ref="B60:E60"/>
    <mergeCell ref="B63:E63"/>
    <mergeCell ref="D30:E30"/>
    <mergeCell ref="B39:C39"/>
    <mergeCell ref="B38:C38"/>
    <mergeCell ref="A35:E35"/>
    <mergeCell ref="A43:E43"/>
    <mergeCell ref="B31:E31"/>
    <mergeCell ref="B33:C33"/>
    <mergeCell ref="B32:C32"/>
    <mergeCell ref="B30:C30"/>
    <mergeCell ref="B40:C40"/>
    <mergeCell ref="B58:E58"/>
    <mergeCell ref="B50:C50"/>
    <mergeCell ref="B61:E61"/>
    <mergeCell ref="B7:C7"/>
    <mergeCell ref="B6:C6"/>
    <mergeCell ref="B36:C36"/>
    <mergeCell ref="B17:C17"/>
    <mergeCell ref="D27:E27"/>
    <mergeCell ref="B28:C28"/>
    <mergeCell ref="B24:C24"/>
    <mergeCell ref="D36:E36"/>
    <mergeCell ref="D20:E20"/>
    <mergeCell ref="D19:E19"/>
    <mergeCell ref="D33:E33"/>
    <mergeCell ref="B19:C19"/>
    <mergeCell ref="D29:E29"/>
    <mergeCell ref="B11:C11"/>
    <mergeCell ref="B16:C16"/>
    <mergeCell ref="B26:E26"/>
    <mergeCell ref="D10:E10"/>
    <mergeCell ref="A9:E9"/>
    <mergeCell ref="B10:C10"/>
    <mergeCell ref="D50:E50"/>
    <mergeCell ref="B44:C44"/>
    <mergeCell ref="B45:C45"/>
    <mergeCell ref="B47:C47"/>
    <mergeCell ref="B46:C46"/>
    <mergeCell ref="D40:E40"/>
    <mergeCell ref="B37:C37"/>
    <mergeCell ref="D37:E37"/>
    <mergeCell ref="B25:C25"/>
    <mergeCell ref="B20:C20"/>
    <mergeCell ref="B22:C22"/>
    <mergeCell ref="D22:E22"/>
    <mergeCell ref="B23:C23"/>
    <mergeCell ref="B29:C29"/>
    <mergeCell ref="D28:E28"/>
    <mergeCell ref="B27:C27"/>
    <mergeCell ref="D25:E25"/>
    <mergeCell ref="A3:E3"/>
    <mergeCell ref="D21:E21"/>
    <mergeCell ref="D4:E4"/>
    <mergeCell ref="D5:E5"/>
    <mergeCell ref="D6:E6"/>
    <mergeCell ref="D7:E7"/>
    <mergeCell ref="B4:C4"/>
    <mergeCell ref="D18:E18"/>
    <mergeCell ref="D17:E17"/>
    <mergeCell ref="B18:C18"/>
    <mergeCell ref="B5:C5"/>
    <mergeCell ref="B21:C21"/>
  </mergeCells>
  <conditionalFormatting sqref="B12:E21">
    <cfRule type="expression" dxfId="317" priority="3">
      <formula>$D$10="No"</formula>
    </cfRule>
  </conditionalFormatting>
  <conditionalFormatting sqref="B22:E22 B27:E28">
    <cfRule type="expression" dxfId="316" priority="1">
      <formula>$D$10="Yes"</formula>
    </cfRule>
  </conditionalFormatting>
  <dataValidations disablePrompts="1" count="5">
    <dataValidation showErrorMessage="1" error="Please select from drop down list." sqref="D34:E34"/>
    <dataValidation allowBlank="1" showErrorMessage="1" error="Please select from drop down list." sqref="D44:E47 D38 D39:E39 D41:E41 D8:E8 D36:E37"/>
    <dataValidation type="list" allowBlank="1" showInputMessage="1" showErrorMessage="1" sqref="C13:C15">
      <formula1>eFuelTypes</formula1>
    </dataValidation>
    <dataValidation type="list" allowBlank="1" showErrorMessage="1" error="Please select from drop down list." sqref="D7:E7">
      <formula1>ProjectUseType</formula1>
    </dataValidation>
    <dataValidation type="list" allowBlank="1" showErrorMessage="1" error="Please select from drop down list." sqref="D10:E10">
      <formula1>"Yes,No"</formula1>
    </dataValidation>
  </dataValidations>
  <pageMargins left="0.7" right="0.7" top="0.75" bottom="0.75" header="0.3" footer="0.3"/>
  <pageSetup scale="83" orientation="portrait" r:id="rId1"/>
  <headerFooter>
    <oddFooter>&amp;LMetrics Input&amp;CState of Tennessee HPBr 5/18/18&amp;RPage &amp;P of &amp;N</oddFooter>
  </headerFooter>
  <rowBreaks count="1" manualBreakCount="1">
    <brk id="49" max="4" man="1"/>
  </rowBreaks>
  <legacyDrawing r:id="rId2"/>
  <extLst>
    <ext xmlns:x14="http://schemas.microsoft.com/office/spreadsheetml/2009/9/main" uri="{78C0D931-6437-407d-A8EE-F0AAD7539E65}">
      <x14:conditionalFormattings>
        <x14:conditionalFormatting xmlns:xm="http://schemas.microsoft.com/office/excel/2006/main">
          <x14:cfRule type="expression" priority="2" id="{8712A445-DE57-4BF0-BEEF-85140BF5FE0C}">
            <xm:f>$D$18&lt;&gt;'HPBr Checklist'!$R$54</xm:f>
            <x14:dxf>
              <font>
                <color rgb="FFFF0000"/>
              </font>
              <fill>
                <patternFill patternType="none">
                  <bgColor auto="1"/>
                </patternFill>
              </fill>
            </x14:dxf>
          </x14:cfRule>
          <xm:sqref>F18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C7" sqref="C7:C8"/>
    </sheetView>
  </sheetViews>
  <sheetFormatPr defaultRowHeight="12.75" x14ac:dyDescent="0.2"/>
  <sheetData>
    <row r="1" spans="1:3" x14ac:dyDescent="0.2">
      <c r="A1" t="s">
        <v>362</v>
      </c>
    </row>
    <row r="2" spans="1:3" x14ac:dyDescent="0.2">
      <c r="A2" t="s">
        <v>361</v>
      </c>
    </row>
    <row r="3" spans="1:3" x14ac:dyDescent="0.2">
      <c r="A3" t="s">
        <v>363</v>
      </c>
    </row>
    <row r="6" spans="1:3" x14ac:dyDescent="0.2">
      <c r="A6" t="s">
        <v>362</v>
      </c>
      <c r="B6" t="s">
        <v>361</v>
      </c>
      <c r="C6" t="s">
        <v>363</v>
      </c>
    </row>
    <row r="7" spans="1:3" x14ac:dyDescent="0.2">
      <c r="A7" t="s">
        <v>1</v>
      </c>
      <c r="B7" t="s">
        <v>0</v>
      </c>
      <c r="C7" t="s">
        <v>0</v>
      </c>
    </row>
    <row r="8" spans="1:3" x14ac:dyDescent="0.2">
      <c r="B8" t="s">
        <v>1</v>
      </c>
      <c r="C8" t="s">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fitToPage="1"/>
  </sheetPr>
  <dimension ref="A1:IX112"/>
  <sheetViews>
    <sheetView showRuler="0" zoomScale="80" zoomScaleNormal="80" zoomScaleSheetLayoutView="85" zoomScalePageLayoutView="85" workbookViewId="0">
      <selection activeCell="D5" sqref="D5"/>
    </sheetView>
  </sheetViews>
  <sheetFormatPr defaultColWidth="9.140625" defaultRowHeight="12.75" x14ac:dyDescent="0.2"/>
  <cols>
    <col min="1" max="1" width="14" style="280" customWidth="1"/>
    <col min="2" max="2" width="11.140625" style="280" customWidth="1"/>
    <col min="3" max="3" width="17.5703125" style="280" customWidth="1"/>
    <col min="4" max="4" width="69.7109375" style="281" customWidth="1"/>
    <col min="5" max="5" width="18.42578125" style="280" customWidth="1"/>
    <col min="6" max="6" width="4.7109375" style="282" customWidth="1"/>
    <col min="7" max="7" width="4.7109375" style="283" customWidth="1"/>
    <col min="8" max="8" width="6.5703125" style="284" customWidth="1"/>
    <col min="9" max="9" width="4.7109375" style="282" customWidth="1"/>
    <col min="10" max="10" width="4.7109375" style="283" customWidth="1"/>
    <col min="11" max="11" width="5.7109375" style="284" customWidth="1"/>
    <col min="12" max="12" width="4.7109375" style="282" customWidth="1"/>
    <col min="13" max="13" width="4.7109375" style="283" customWidth="1"/>
    <col min="14" max="14" width="6" style="284" customWidth="1"/>
    <col min="15" max="15" width="4.7109375" style="282" customWidth="1"/>
    <col min="16" max="16" width="4.7109375" style="283" customWidth="1"/>
    <col min="17" max="17" width="6.42578125" style="284" customWidth="1"/>
    <col min="18" max="18" width="4.7109375" style="282" customWidth="1"/>
    <col min="19" max="19" width="4.7109375" style="283" customWidth="1"/>
    <col min="20" max="20" width="5.85546875" style="284" customWidth="1"/>
    <col min="21" max="21" width="44" style="281" customWidth="1"/>
    <col min="22" max="22" width="8.42578125" style="340" customWidth="1"/>
    <col min="23" max="23" width="21.28515625" style="285" customWidth="1"/>
    <col min="24" max="24" width="10.5703125" style="285" hidden="1" customWidth="1"/>
    <col min="25" max="41" width="9.140625" style="280" hidden="1" customWidth="1"/>
    <col min="42" max="42" width="6.28515625" style="280" hidden="1" customWidth="1"/>
    <col min="43" max="43" width="5.42578125" style="280" hidden="1" customWidth="1"/>
    <col min="44" max="44" width="6.140625" style="280" hidden="1" customWidth="1"/>
    <col min="45" max="45" width="5.42578125" style="280" hidden="1" customWidth="1"/>
    <col min="46" max="46" width="7.28515625" style="280" hidden="1" customWidth="1"/>
    <col min="47" max="56" width="0" style="280" hidden="1" customWidth="1"/>
    <col min="57" max="16384" width="9.140625" style="280"/>
  </cols>
  <sheetData>
    <row r="1" spans="1:56" ht="23.25" x14ac:dyDescent="0.35">
      <c r="A1" s="279" t="s">
        <v>708</v>
      </c>
      <c r="C1" s="279"/>
      <c r="F1" s="282" t="s">
        <v>466</v>
      </c>
      <c r="S1" s="170"/>
      <c r="U1" s="106" t="s">
        <v>322</v>
      </c>
      <c r="V1" s="107" t="s">
        <v>114</v>
      </c>
    </row>
    <row r="2" spans="1:56" ht="27" thickBot="1" x14ac:dyDescent="0.25">
      <c r="A2" s="286" t="s">
        <v>465</v>
      </c>
      <c r="C2" s="286"/>
      <c r="F2" s="282" t="s">
        <v>467</v>
      </c>
      <c r="R2" s="287"/>
      <c r="S2" s="288" t="s">
        <v>7</v>
      </c>
      <c r="T2" s="289" t="s">
        <v>4</v>
      </c>
      <c r="U2" s="162" t="s">
        <v>197</v>
      </c>
      <c r="V2" s="342"/>
      <c r="Z2" s="290"/>
    </row>
    <row r="3" spans="1:56" ht="15.95" customHeight="1" x14ac:dyDescent="0.2">
      <c r="A3" s="737" t="s">
        <v>262</v>
      </c>
      <c r="B3" s="735" t="s">
        <v>709</v>
      </c>
      <c r="C3" s="291" t="s">
        <v>284</v>
      </c>
      <c r="D3" s="526"/>
      <c r="F3" s="282" t="s">
        <v>468</v>
      </c>
      <c r="R3" s="292"/>
      <c r="S3" s="293" t="s">
        <v>11</v>
      </c>
      <c r="T3" s="294" t="s">
        <v>4</v>
      </c>
      <c r="U3" s="163" t="s">
        <v>142</v>
      </c>
      <c r="V3" s="342"/>
      <c r="Z3" s="285"/>
      <c r="AB3" s="295" t="s">
        <v>0</v>
      </c>
      <c r="AF3" s="296"/>
      <c r="AG3" s="296"/>
      <c r="AH3" s="296"/>
    </row>
    <row r="4" spans="1:56" ht="15.95" customHeight="1" x14ac:dyDescent="0.2">
      <c r="A4" s="738"/>
      <c r="B4" s="736"/>
      <c r="C4" s="297" t="s">
        <v>117</v>
      </c>
      <c r="D4" s="526"/>
      <c r="F4" s="282" t="s">
        <v>469</v>
      </c>
      <c r="R4" s="298"/>
      <c r="S4" s="293" t="s">
        <v>193</v>
      </c>
      <c r="T4" s="294" t="s">
        <v>4</v>
      </c>
      <c r="U4" s="163" t="s">
        <v>198</v>
      </c>
      <c r="V4" s="342"/>
      <c r="X4" s="299" t="s">
        <v>336</v>
      </c>
      <c r="Z4" s="299"/>
      <c r="AB4" s="295" t="s">
        <v>1</v>
      </c>
      <c r="AH4" s="296"/>
    </row>
    <row r="5" spans="1:56" ht="15.95" customHeight="1" x14ac:dyDescent="0.2">
      <c r="A5" s="300" t="s">
        <v>349</v>
      </c>
      <c r="B5" s="301">
        <f>SUMIF(C17:C103,"Yes",A17:A103)</f>
        <v>103</v>
      </c>
      <c r="C5" s="297" t="s">
        <v>118</v>
      </c>
      <c r="D5" s="341"/>
      <c r="F5" s="282" t="s">
        <v>470</v>
      </c>
      <c r="R5" s="298"/>
      <c r="S5" s="293" t="s">
        <v>194</v>
      </c>
      <c r="T5" s="294" t="s">
        <v>4</v>
      </c>
      <c r="U5" s="163" t="s">
        <v>199</v>
      </c>
      <c r="V5" s="342"/>
      <c r="X5" s="299" t="s">
        <v>337</v>
      </c>
      <c r="Z5" s="302" t="s">
        <v>275</v>
      </c>
    </row>
    <row r="6" spans="1:56" ht="15.95" customHeight="1" x14ac:dyDescent="0.2">
      <c r="A6" s="300" t="s">
        <v>353</v>
      </c>
      <c r="B6" s="301">
        <f>IF(ROUNDUP(B5*0.5,0)&gt;AY12,ROUNDUP(B5*0.5,0),AY12)</f>
        <v>52</v>
      </c>
      <c r="C6" s="297" t="s">
        <v>140</v>
      </c>
      <c r="D6" s="151"/>
      <c r="F6" s="282" t="s">
        <v>471</v>
      </c>
      <c r="R6" s="298"/>
      <c r="S6" s="293" t="s">
        <v>195</v>
      </c>
      <c r="T6" s="294" t="s">
        <v>4</v>
      </c>
      <c r="U6" s="163" t="s">
        <v>200</v>
      </c>
      <c r="V6" s="342"/>
      <c r="X6" s="299" t="s">
        <v>338</v>
      </c>
      <c r="Z6" s="302" t="s">
        <v>279</v>
      </c>
      <c r="AG6" s="296"/>
      <c r="AH6" s="296"/>
    </row>
    <row r="7" spans="1:56" ht="27" customHeight="1" x14ac:dyDescent="0.2">
      <c r="A7" s="304" t="s">
        <v>275</v>
      </c>
      <c r="B7" s="305">
        <f>F106</f>
        <v>0</v>
      </c>
      <c r="C7" s="291" t="s">
        <v>266</v>
      </c>
      <c r="D7" s="151"/>
      <c r="F7" s="282" t="s">
        <v>472</v>
      </c>
      <c r="R7" s="298"/>
      <c r="S7" s="293" t="s">
        <v>196</v>
      </c>
      <c r="T7" s="294" t="s">
        <v>4</v>
      </c>
      <c r="U7" s="163" t="s">
        <v>143</v>
      </c>
      <c r="V7" s="342"/>
      <c r="X7" s="299" t="s">
        <v>2</v>
      </c>
      <c r="Z7" s="303" t="s">
        <v>280</v>
      </c>
      <c r="AG7" s="296"/>
      <c r="AH7" s="296"/>
    </row>
    <row r="8" spans="1:56" ht="15.95" customHeight="1" x14ac:dyDescent="0.2">
      <c r="A8" s="304" t="s">
        <v>135</v>
      </c>
      <c r="B8" s="305">
        <f>I106</f>
        <v>0</v>
      </c>
      <c r="C8" s="742" t="s">
        <v>348</v>
      </c>
      <c r="D8" s="743"/>
      <c r="F8" s="282" t="s">
        <v>473</v>
      </c>
      <c r="R8" s="298"/>
      <c r="S8" s="293" t="s">
        <v>702</v>
      </c>
      <c r="T8" s="306" t="s">
        <v>4</v>
      </c>
      <c r="U8" s="529" t="s">
        <v>703</v>
      </c>
      <c r="V8" s="342"/>
      <c r="X8" s="299" t="s">
        <v>351</v>
      </c>
      <c r="Z8" s="303" t="s">
        <v>281</v>
      </c>
      <c r="AH8" s="296"/>
    </row>
    <row r="9" spans="1:56" ht="15.95" customHeight="1" x14ac:dyDescent="0.2">
      <c r="A9" s="304" t="s">
        <v>136</v>
      </c>
      <c r="B9" s="305">
        <f>L106</f>
        <v>0</v>
      </c>
      <c r="C9" s="742"/>
      <c r="D9" s="744"/>
      <c r="F9" s="282" t="s">
        <v>474</v>
      </c>
      <c r="R9" s="298"/>
      <c r="S9" s="293" t="s">
        <v>789</v>
      </c>
      <c r="T9" s="306" t="s">
        <v>4</v>
      </c>
      <c r="U9" s="529" t="s">
        <v>704</v>
      </c>
      <c r="V9" s="342"/>
      <c r="X9" s="299" t="s">
        <v>352</v>
      </c>
      <c r="Z9" s="303" t="s">
        <v>282</v>
      </c>
      <c r="AD9" s="295" t="s">
        <v>699</v>
      </c>
      <c r="AE9" s="295" t="s">
        <v>135</v>
      </c>
      <c r="AF9" s="295" t="s">
        <v>136</v>
      </c>
      <c r="AG9" s="295" t="s">
        <v>263</v>
      </c>
      <c r="AH9" s="296" t="s">
        <v>282</v>
      </c>
    </row>
    <row r="10" spans="1:56" ht="15.95" customHeight="1" x14ac:dyDescent="0.2">
      <c r="A10" s="304" t="s">
        <v>263</v>
      </c>
      <c r="B10" s="305">
        <f>O106</f>
        <v>0</v>
      </c>
      <c r="C10" s="308" t="s">
        <v>698</v>
      </c>
      <c r="D10" s="525" t="str">
        <f>IF(AND(D7="Programming",B7&gt;=B6,AZ12&gt;=AY12),"Project Complies with the HPBr",IF(AND(D7="Programming",B7&gt;=B6,AZ12&lt;AY12),"Does not comply - not enough required credits earned",IF(AND(D7="Programming",B7&lt;B6),"Does not comply - not enough points earned",IF(AND(D7="Schematic Design",B8&gt;=B6,BA12&gt;=AY12),"Project Complies with the HPBr",IF(AND(D7="Schematic Design",B8&gt;=B6,BA12&lt;AY12),"Does not comply - not enough required credits earned",IF(AND(D7="Schematic Design",B8&lt;B6),"Does not comply - not enough points earned",IF(AND(D7="Detailed Design",B9&gt;=B6,BB12&gt;=AY12),"Project Complies with the HPBr",IF(AND(D7="Detailed Design",B9&gt;=B6,BB12&lt;AY12),"Does not comply - not enough required credits earned",IF(AND(D7="Detailed Design",B9&lt;B6),"Does not comply - not enough points earned",IF(AND(D7="Construction Documentation",B10&gt;=B6,BC12&gt;=AY12),"Project Complies with the HPBr",IF(AND(D7="Construction Documentation",B10&gt;=B6,BC12&lt;AY12),"Does not comply - not enough required credits earned",IF(AND(D7="Construction Documentation",B10&lt;B6),"Project does not comply - not enough points earned",IF(AND(D7="Closeout",B11&gt;=B6,BD12&gt;=AY12),"Project Complies with the HPBr",IF(AND(D7="Closeout",B11&gt;=B6,BD12&lt;AY12),"Does not comply - not enough required credits earned","Does not comply - not enough points earned"))))))))))))))</f>
        <v>Does not comply - not enough points earned</v>
      </c>
      <c r="F10" s="282" t="s">
        <v>475</v>
      </c>
      <c r="R10" s="298"/>
      <c r="S10" s="293" t="s">
        <v>119</v>
      </c>
      <c r="T10" s="306" t="s">
        <v>4</v>
      </c>
      <c r="U10" s="163" t="s">
        <v>119</v>
      </c>
      <c r="V10" s="342"/>
      <c r="X10" s="299" t="s">
        <v>128</v>
      </c>
      <c r="Z10" s="303"/>
      <c r="AC10" s="280" t="str">
        <f>IF(D7="Programming",AD10,IF(D7="Schematic Design",AE10,IF(D7="Detailed Design",AF10,IF(D7="Construction Documentation",AG10,AH10))))</f>
        <v>Fail-Required</v>
      </c>
      <c r="AD10" s="280" t="str">
        <f>IF(AND($D$7="Programming",$D$10="Project Complies with the HPBr"),"Success",IF(AND($D$7="Programming",$D$10="Does not comply - not enough points earned"),"Fail-Points","Fail-Required"))</f>
        <v>Fail-Required</v>
      </c>
      <c r="AE10" s="280" t="str">
        <f>IF(AND($D$7="Schematic Design",$D$10="Project Complies with the HPBr"),"Success",IF(AND($D$7="Schematic Design",$D$10="Does not comply - not enough points earned"),"Fail-Points","Fail-Required"))</f>
        <v>Fail-Required</v>
      </c>
      <c r="AF10" s="280" t="str">
        <f>IF(AND($D$7="Detailed Design",$D$10="Project Complies with the HPBr"),"Success",IF(AND($D$7="Detailed Design",$D$10="Does not comply - not enough points earned"),"Fail-Points","Fail-Required"))</f>
        <v>Fail-Required</v>
      </c>
      <c r="AG10" s="280" t="str">
        <f>IF(AND($D$7="Construction Documentation",$D$10="Project Complies with the HPBr"),"Success",IF(AND($D$7="Construction Documentation",$D$10="Project does not comply - not enough points earned"),"Fail-Points","Fail-Required"))</f>
        <v>Fail-Required</v>
      </c>
      <c r="AH10" s="280" t="str">
        <f>IF(AND($D$7="Closeout",$D$10="Project Complies with the HPBr"),"Success",IF(AND($D$7="Closeout",$D$10="Does not comply - not enough points earned"),"Fail-Points","Fail-Required"))</f>
        <v>Fail-Required</v>
      </c>
    </row>
    <row r="11" spans="1:56" ht="15.75" customHeight="1" thickBot="1" x14ac:dyDescent="0.25">
      <c r="A11" s="310" t="s">
        <v>282</v>
      </c>
      <c r="B11" s="311">
        <f>R106</f>
        <v>0</v>
      </c>
      <c r="C11" s="309"/>
      <c r="D11" s="747" t="str">
        <f>IF(AND(D10="Does not comply - not enough required credits earned",D7="Programming"),"Review checklist in Programming Phase Column for highlighted Required credits and incorporate into design",IF(AND(D10="Does not comply - not enough required credits earned",D7="Schematic Design"),"Review checklist in SD Phase Column for highlighted Required credits and incorporate into design",IF(AND(D10="Does not comply - not enough required credits earned",D7="Detailed Design"),"Review checklist in DD phase Column for highlighted Required credits and incorporate into design",IF(AND(D10="Does not comply - not enough required credits earned",D7="Construction Documentation"),"Review checklist in CD Phase Column for highlighted Required credits and incorporate into design",IF(AND(D10="Does not comply - not enough required credits earned",D7="Closeout"),"Review checklist in Closeout Column for highlighted Required credits and incorporate into design","")))))</f>
        <v/>
      </c>
      <c r="F11" s="745" t="str">
        <f>IF(MIN(H17:H105)&lt;0,"Point allocation error","")</f>
        <v/>
      </c>
      <c r="G11" s="745"/>
      <c r="H11" s="745"/>
      <c r="I11" s="745" t="str">
        <f>IF(MIN(K17:K105)&lt;0,"Point allocation error","")</f>
        <v/>
      </c>
      <c r="J11" s="745"/>
      <c r="K11" s="745"/>
      <c r="L11" s="745" t="str">
        <f>IF(MIN(N17:N105)&lt;0,"Point allocation error","")</f>
        <v/>
      </c>
      <c r="M11" s="745"/>
      <c r="N11" s="745"/>
      <c r="O11" s="745" t="str">
        <f>IF(MIN(Q17:Q105)&lt;0,"Point allocation error","")</f>
        <v/>
      </c>
      <c r="P11" s="745"/>
      <c r="Q11" s="745"/>
      <c r="R11" s="745" t="str">
        <f>IF(MIN(T17:T105)&lt;0,"Point allocation error","")</f>
        <v/>
      </c>
      <c r="S11" s="745"/>
      <c r="T11" s="745"/>
      <c r="V11" s="307"/>
      <c r="Z11" s="303"/>
      <c r="AD11" s="280" t="str">
        <f>IF(AND(D7="Programming",B7&lt;B6),"Fail","n/a")</f>
        <v>n/a</v>
      </c>
      <c r="AE11" s="280" t="str">
        <f>IF(AND(D7="Schematic Design",B8&lt;B6),"Fail","n/a")</f>
        <v>n/a</v>
      </c>
      <c r="AF11" s="280" t="str">
        <f>IF(AND(D7="Detailed Design",B9&lt;B6),"Fail","n/a")</f>
        <v>n/a</v>
      </c>
      <c r="AG11" s="280" t="str">
        <f>IF(AND(D7="Construction Documentation",B10&lt;B6),"Fail","n/a")</f>
        <v>n/a</v>
      </c>
      <c r="AH11" s="280" t="str">
        <f>IF(AND(D7="Closeout",B11&lt;B6),"Fail","n/a")</f>
        <v>n/a</v>
      </c>
      <c r="AZ11" s="295" t="s">
        <v>699</v>
      </c>
      <c r="BA11" s="295" t="s">
        <v>135</v>
      </c>
      <c r="BB11" s="295" t="s">
        <v>136</v>
      </c>
      <c r="BC11" s="295" t="s">
        <v>263</v>
      </c>
      <c r="BD11" s="295" t="s">
        <v>282</v>
      </c>
    </row>
    <row r="12" spans="1:56" ht="15.75" customHeight="1" thickBot="1" x14ac:dyDescent="0.25">
      <c r="C12" s="309"/>
      <c r="D12" s="748"/>
      <c r="F12" s="746"/>
      <c r="G12" s="746"/>
      <c r="H12" s="746"/>
      <c r="I12" s="746"/>
      <c r="J12" s="746"/>
      <c r="K12" s="746"/>
      <c r="L12" s="746"/>
      <c r="M12" s="746"/>
      <c r="N12" s="746"/>
      <c r="O12" s="746"/>
      <c r="P12" s="746"/>
      <c r="Q12" s="746"/>
      <c r="R12" s="746"/>
      <c r="S12" s="746"/>
      <c r="T12" s="746"/>
      <c r="V12" s="307"/>
      <c r="Z12" s="303"/>
      <c r="AY12" s="280">
        <f>SUM(AY17:AY103)</f>
        <v>21</v>
      </c>
      <c r="AZ12" s="280">
        <f t="shared" ref="AZ12:BD12" si="0">SUM(AZ17:AZ103)</f>
        <v>0</v>
      </c>
      <c r="BA12" s="280">
        <f t="shared" si="0"/>
        <v>0</v>
      </c>
      <c r="BB12" s="280">
        <f t="shared" si="0"/>
        <v>0</v>
      </c>
      <c r="BC12" s="280">
        <f t="shared" si="0"/>
        <v>0</v>
      </c>
      <c r="BD12" s="280">
        <f t="shared" si="0"/>
        <v>0</v>
      </c>
    </row>
    <row r="13" spans="1:56" s="318" customFormat="1" ht="15.75" customHeight="1" thickBot="1" x14ac:dyDescent="0.3">
      <c r="A13" s="312"/>
      <c r="B13" s="313"/>
      <c r="C13" s="312"/>
      <c r="D13" s="314"/>
      <c r="E13" s="313"/>
      <c r="F13" s="739" t="s">
        <v>275</v>
      </c>
      <c r="G13" s="740"/>
      <c r="H13" s="741"/>
      <c r="I13" s="739" t="s">
        <v>135</v>
      </c>
      <c r="J13" s="740"/>
      <c r="K13" s="741"/>
      <c r="L13" s="739" t="s">
        <v>136</v>
      </c>
      <c r="M13" s="740"/>
      <c r="N13" s="741"/>
      <c r="O13" s="739" t="s">
        <v>263</v>
      </c>
      <c r="P13" s="740"/>
      <c r="Q13" s="741"/>
      <c r="R13" s="739" t="s">
        <v>282</v>
      </c>
      <c r="S13" s="740"/>
      <c r="T13" s="741"/>
      <c r="U13" s="58"/>
      <c r="V13" s="315"/>
      <c r="W13" s="316"/>
      <c r="X13" s="317"/>
    </row>
    <row r="14" spans="1:56" s="318" customFormat="1" ht="17.25" customHeight="1" x14ac:dyDescent="0.2">
      <c r="A14" s="474"/>
      <c r="B14" s="320"/>
      <c r="C14" s="319"/>
      <c r="D14" s="320"/>
      <c r="E14" s="321" t="s">
        <v>267</v>
      </c>
      <c r="F14" s="177">
        <f>F106</f>
        <v>0</v>
      </c>
      <c r="G14" s="222">
        <f t="shared" ref="G14:T14" si="1">G106</f>
        <v>0</v>
      </c>
      <c r="H14" s="171">
        <f t="shared" si="1"/>
        <v>105</v>
      </c>
      <c r="I14" s="177">
        <f t="shared" si="1"/>
        <v>0</v>
      </c>
      <c r="J14" s="222">
        <f t="shared" si="1"/>
        <v>0</v>
      </c>
      <c r="K14" s="171">
        <f>K106</f>
        <v>105</v>
      </c>
      <c r="L14" s="177">
        <f>L106</f>
        <v>0</v>
      </c>
      <c r="M14" s="222">
        <f>M106</f>
        <v>0</v>
      </c>
      <c r="N14" s="171">
        <f>N106</f>
        <v>105</v>
      </c>
      <c r="O14" s="177">
        <f t="shared" si="1"/>
        <v>0</v>
      </c>
      <c r="P14" s="222">
        <f t="shared" si="1"/>
        <v>0</v>
      </c>
      <c r="Q14" s="171">
        <f t="shared" si="1"/>
        <v>105</v>
      </c>
      <c r="R14" s="177">
        <f t="shared" si="1"/>
        <v>0</v>
      </c>
      <c r="S14" s="222">
        <f t="shared" si="1"/>
        <v>0</v>
      </c>
      <c r="T14" s="171">
        <f t="shared" si="1"/>
        <v>105</v>
      </c>
      <c r="U14" s="321"/>
      <c r="V14" s="321"/>
      <c r="W14" s="321"/>
      <c r="X14" s="317"/>
      <c r="AP14" s="498" t="s">
        <v>673</v>
      </c>
      <c r="AQ14" s="498" t="s">
        <v>135</v>
      </c>
      <c r="AR14" s="498" t="s">
        <v>136</v>
      </c>
      <c r="AS14" s="498" t="s">
        <v>263</v>
      </c>
      <c r="AT14" s="498" t="s">
        <v>674</v>
      </c>
    </row>
    <row r="15" spans="1:56" ht="39.950000000000003" customHeight="1" x14ac:dyDescent="0.2">
      <c r="A15" s="108" t="s">
        <v>389</v>
      </c>
      <c r="B15" s="109"/>
      <c r="C15" s="476"/>
      <c r="D15" s="110" t="s">
        <v>132</v>
      </c>
      <c r="E15" s="152" t="s">
        <v>268</v>
      </c>
      <c r="F15" s="178">
        <f t="shared" ref="F15:T15" si="2">SUM(F17:F37)</f>
        <v>0</v>
      </c>
      <c r="G15" s="223">
        <f t="shared" si="2"/>
        <v>0</v>
      </c>
      <c r="H15" s="172">
        <f t="shared" si="2"/>
        <v>22</v>
      </c>
      <c r="I15" s="178">
        <f t="shared" si="2"/>
        <v>0</v>
      </c>
      <c r="J15" s="223">
        <f t="shared" si="2"/>
        <v>0</v>
      </c>
      <c r="K15" s="172">
        <f t="shared" si="2"/>
        <v>22</v>
      </c>
      <c r="L15" s="178">
        <f t="shared" si="2"/>
        <v>0</v>
      </c>
      <c r="M15" s="223">
        <f t="shared" si="2"/>
        <v>0</v>
      </c>
      <c r="N15" s="172">
        <f t="shared" si="2"/>
        <v>22</v>
      </c>
      <c r="O15" s="178">
        <f t="shared" si="2"/>
        <v>0</v>
      </c>
      <c r="P15" s="223">
        <f t="shared" si="2"/>
        <v>0</v>
      </c>
      <c r="Q15" s="172">
        <f t="shared" si="2"/>
        <v>22</v>
      </c>
      <c r="R15" s="178">
        <f t="shared" si="2"/>
        <v>0</v>
      </c>
      <c r="S15" s="223">
        <f t="shared" si="2"/>
        <v>0</v>
      </c>
      <c r="T15" s="172">
        <f t="shared" si="2"/>
        <v>22</v>
      </c>
      <c r="U15" s="183"/>
      <c r="V15" s="755" t="s">
        <v>201</v>
      </c>
      <c r="W15" s="756"/>
      <c r="X15" s="317"/>
      <c r="AO15" s="295" t="s">
        <v>672</v>
      </c>
    </row>
    <row r="16" spans="1:56" s="322" customFormat="1" ht="74.25" customHeight="1" x14ac:dyDescent="0.2">
      <c r="A16" s="111" t="s">
        <v>350</v>
      </c>
      <c r="B16" s="111" t="s">
        <v>139</v>
      </c>
      <c r="C16" s="111" t="s">
        <v>326</v>
      </c>
      <c r="D16" s="112" t="s">
        <v>3</v>
      </c>
      <c r="E16" s="153" t="s">
        <v>300</v>
      </c>
      <c r="F16" s="179" t="s">
        <v>0</v>
      </c>
      <c r="G16" s="224" t="s">
        <v>12</v>
      </c>
      <c r="H16" s="173" t="s">
        <v>1</v>
      </c>
      <c r="I16" s="179" t="s">
        <v>0</v>
      </c>
      <c r="J16" s="224" t="s">
        <v>12</v>
      </c>
      <c r="K16" s="173" t="s">
        <v>1</v>
      </c>
      <c r="L16" s="179" t="s">
        <v>0</v>
      </c>
      <c r="M16" s="224" t="s">
        <v>12</v>
      </c>
      <c r="N16" s="173" t="s">
        <v>1</v>
      </c>
      <c r="O16" s="179" t="s">
        <v>0</v>
      </c>
      <c r="P16" s="224" t="s">
        <v>12</v>
      </c>
      <c r="Q16" s="173" t="s">
        <v>1</v>
      </c>
      <c r="R16" s="179" t="s">
        <v>0</v>
      </c>
      <c r="S16" s="224" t="s">
        <v>12</v>
      </c>
      <c r="T16" s="173" t="s">
        <v>1</v>
      </c>
      <c r="U16" s="184" t="s">
        <v>788</v>
      </c>
      <c r="V16" s="114" t="s">
        <v>264</v>
      </c>
      <c r="W16" s="168" t="s">
        <v>114</v>
      </c>
      <c r="X16" s="116"/>
    </row>
    <row r="17" spans="1:56" s="325" customFormat="1" ht="15.75" x14ac:dyDescent="0.2">
      <c r="A17" s="113">
        <v>1</v>
      </c>
      <c r="B17" s="113" t="s">
        <v>205</v>
      </c>
      <c r="C17" s="345" t="s">
        <v>0</v>
      </c>
      <c r="D17" s="117" t="s">
        <v>202</v>
      </c>
      <c r="E17" s="154" t="s">
        <v>352</v>
      </c>
      <c r="F17" s="193"/>
      <c r="G17" s="225"/>
      <c r="H17" s="323">
        <f>$A17-F17-G17</f>
        <v>1</v>
      </c>
      <c r="I17" s="193"/>
      <c r="J17" s="225"/>
      <c r="K17" s="323">
        <f>$A17-I17-J17</f>
        <v>1</v>
      </c>
      <c r="L17" s="193"/>
      <c r="M17" s="225"/>
      <c r="N17" s="323">
        <f>$A17-L17-M17</f>
        <v>1</v>
      </c>
      <c r="O17" s="193"/>
      <c r="P17" s="225"/>
      <c r="Q17" s="323">
        <f>$A17-O17-P17</f>
        <v>1</v>
      </c>
      <c r="R17" s="193"/>
      <c r="S17" s="225"/>
      <c r="T17" s="323">
        <f>$A17-R17-S17</f>
        <v>1</v>
      </c>
      <c r="U17" s="343"/>
      <c r="V17" s="415" t="s">
        <v>7</v>
      </c>
      <c r="W17" s="324">
        <f t="shared" ref="W17:W37" si="3">INDEX($S$1:$V$10, MATCH(V17,$S$1:$S$10,), MATCH("Initials",$S$1:$V$1,))</f>
        <v>0</v>
      </c>
      <c r="X17" s="317" t="str">
        <f>IF(C17="Yes","Yes1","Zero1")</f>
        <v>Yes1</v>
      </c>
      <c r="Y17" s="325">
        <v>0</v>
      </c>
      <c r="AA17" s="325">
        <v>1</v>
      </c>
      <c r="AI17" s="325">
        <f>IF(AND(F17&gt;0,C17="No"),"ERROR",0)</f>
        <v>0</v>
      </c>
      <c r="AJ17" s="325">
        <f>IF(AND(I17&gt;0,$C17="No"),"ERROR",0)</f>
        <v>0</v>
      </c>
      <c r="AK17" s="325">
        <f>IF(AND(L17&gt;0,$C17="No"),"ERROR",0)</f>
        <v>0</v>
      </c>
      <c r="AL17" s="325">
        <f>IF(AND(O17&gt;0,$C17="No"),"ERROR",0)</f>
        <v>0</v>
      </c>
      <c r="AM17" s="325">
        <f>IF(AND(R17&gt;0,$C17="No"),"ERROR",0)</f>
        <v>0</v>
      </c>
      <c r="AY17" s="325">
        <f>IF(AND(C17="Yes",E17="Required"),A17,0)</f>
        <v>0</v>
      </c>
      <c r="AZ17" s="325">
        <f>IF(AND($E17="Required",$C17="Yes",F17&gt;0),$A17,0)</f>
        <v>0</v>
      </c>
      <c r="BA17" s="325">
        <f>IF(AND($E17="Required",$C17="Yes",I17&gt;0),$A17,0)</f>
        <v>0</v>
      </c>
      <c r="BB17" s="325">
        <f>IF(AND($E17="Required",$C17="Yes",L17&gt;0),$A17,0)</f>
        <v>0</v>
      </c>
      <c r="BC17" s="325">
        <f>IF(AND($E17="Required",$C17="Yes",O17&gt;0),$A17,0)</f>
        <v>0</v>
      </c>
      <c r="BD17" s="325">
        <f>IF(AND($E17="Required",$C17="Yes",R17&gt;0),$A17,0)</f>
        <v>0</v>
      </c>
    </row>
    <row r="18" spans="1:56" s="325" customFormat="1" ht="25.5" x14ac:dyDescent="0.2">
      <c r="A18" s="113">
        <v>1</v>
      </c>
      <c r="B18" s="113" t="s">
        <v>206</v>
      </c>
      <c r="C18" s="345" t="s">
        <v>0</v>
      </c>
      <c r="D18" s="118" t="s">
        <v>151</v>
      </c>
      <c r="E18" s="154" t="s">
        <v>351</v>
      </c>
      <c r="F18" s="193"/>
      <c r="G18" s="225"/>
      <c r="H18" s="323">
        <f t="shared" ref="H18:H36" si="4">$A18-F18-G18</f>
        <v>1</v>
      </c>
      <c r="I18" s="193"/>
      <c r="J18" s="225"/>
      <c r="K18" s="323">
        <f t="shared" ref="K18:K36" si="5">$A18-I18-J18</f>
        <v>1</v>
      </c>
      <c r="L18" s="193"/>
      <c r="M18" s="225"/>
      <c r="N18" s="323">
        <f t="shared" ref="N18:N36" si="6">$A18-L18-M18</f>
        <v>1</v>
      </c>
      <c r="O18" s="193"/>
      <c r="P18" s="225"/>
      <c r="Q18" s="323">
        <f t="shared" ref="Q18:Q36" si="7">$A18-O18-P18</f>
        <v>1</v>
      </c>
      <c r="R18" s="193"/>
      <c r="S18" s="225"/>
      <c r="T18" s="323">
        <f t="shared" ref="T18:T36" si="8">$A18-R18-S18</f>
        <v>1</v>
      </c>
      <c r="U18" s="343"/>
      <c r="V18" s="415" t="s">
        <v>7</v>
      </c>
      <c r="W18" s="324">
        <f t="shared" si="3"/>
        <v>0</v>
      </c>
      <c r="X18" s="317" t="str">
        <f t="shared" ref="X18:X38" si="9">IF(C18="Yes","Yes1","Zero1")</f>
        <v>Yes1</v>
      </c>
      <c r="Y18" s="325">
        <v>0</v>
      </c>
      <c r="AA18" s="325">
        <v>1</v>
      </c>
      <c r="AB18" s="325">
        <v>2</v>
      </c>
      <c r="AI18" s="325">
        <f t="shared" ref="AI18:AI37" si="10">IF(AND(F18&gt;0,C18="No"),"ERROR",0)</f>
        <v>0</v>
      </c>
      <c r="AJ18" s="325">
        <f t="shared" ref="AJ18:AJ37" si="11">IF(AND(I18&gt;0,$C18="No"),"ERROR",0)</f>
        <v>0</v>
      </c>
      <c r="AK18" s="325">
        <f t="shared" ref="AK18:AK37" si="12">IF(AND(L18&gt;0,$C18="No"),"ERROR",0)</f>
        <v>0</v>
      </c>
      <c r="AL18" s="325">
        <f t="shared" ref="AL18:AL37" si="13">IF(AND(O18&gt;0,$C18="No"),"ERROR",0)</f>
        <v>0</v>
      </c>
      <c r="AM18" s="325">
        <f t="shared" ref="AM18:AM37" si="14">IF(AND(R18&gt;0,$C18="No"),"ERROR",0)</f>
        <v>0</v>
      </c>
      <c r="AY18" s="325">
        <f t="shared" ref="AY18:AY81" si="15">IF(AND(C18="Yes",E18="Required"),A18,0)</f>
        <v>0</v>
      </c>
      <c r="AZ18" s="325">
        <f>IF(AND($E18="Required",$C18="Yes",F18&gt;0),$A18,0)</f>
        <v>0</v>
      </c>
      <c r="BA18" s="325">
        <f>IF(AND($E18="Required",$C18="Yes",I18&gt;0),$A18,0)</f>
        <v>0</v>
      </c>
      <c r="BB18" s="325">
        <f>IF(AND($E18="Required",$C18="Yes",L18&gt;0),$A18,0)</f>
        <v>0</v>
      </c>
      <c r="BC18" s="325">
        <f>IF(AND($E18="Required",$C18="Yes",O18&gt;0),$A18,0)</f>
        <v>0</v>
      </c>
      <c r="BD18" s="325">
        <f>IF(AND($E18="Required",$C18="Yes",R18&gt;0),$A18,0)</f>
        <v>0</v>
      </c>
    </row>
    <row r="19" spans="1:56" s="325" customFormat="1" ht="25.5" x14ac:dyDescent="0.2">
      <c r="A19" s="113">
        <v>1</v>
      </c>
      <c r="B19" s="113" t="s">
        <v>207</v>
      </c>
      <c r="C19" s="345" t="s">
        <v>0</v>
      </c>
      <c r="D19" s="117" t="s">
        <v>203</v>
      </c>
      <c r="E19" s="154" t="s">
        <v>352</v>
      </c>
      <c r="F19" s="193"/>
      <c r="G19" s="225"/>
      <c r="H19" s="323">
        <f t="shared" si="4"/>
        <v>1</v>
      </c>
      <c r="I19" s="193"/>
      <c r="J19" s="225"/>
      <c r="K19" s="323">
        <f t="shared" si="5"/>
        <v>1</v>
      </c>
      <c r="L19" s="193"/>
      <c r="M19" s="225"/>
      <c r="N19" s="323">
        <f t="shared" si="6"/>
        <v>1</v>
      </c>
      <c r="O19" s="193"/>
      <c r="P19" s="225"/>
      <c r="Q19" s="323">
        <f t="shared" si="7"/>
        <v>1</v>
      </c>
      <c r="R19" s="193"/>
      <c r="S19" s="225"/>
      <c r="T19" s="323">
        <f t="shared" si="8"/>
        <v>1</v>
      </c>
      <c r="U19" s="344"/>
      <c r="V19" s="415" t="s">
        <v>7</v>
      </c>
      <c r="W19" s="324">
        <f t="shared" si="3"/>
        <v>0</v>
      </c>
      <c r="X19" s="317" t="str">
        <f t="shared" si="9"/>
        <v>Yes1</v>
      </c>
      <c r="Y19" s="325">
        <v>0</v>
      </c>
      <c r="AA19" s="325">
        <v>3</v>
      </c>
      <c r="AI19" s="325">
        <f t="shared" si="10"/>
        <v>0</v>
      </c>
      <c r="AJ19" s="325">
        <f t="shared" si="11"/>
        <v>0</v>
      </c>
      <c r="AK19" s="325">
        <f t="shared" si="12"/>
        <v>0</v>
      </c>
      <c r="AL19" s="325">
        <f t="shared" si="13"/>
        <v>0</v>
      </c>
      <c r="AM19" s="325">
        <f t="shared" si="14"/>
        <v>0</v>
      </c>
      <c r="AY19" s="325">
        <f t="shared" si="15"/>
        <v>0</v>
      </c>
      <c r="AZ19" s="325">
        <f t="shared" ref="AZ19:AZ82" si="16">IF(AND($E19="Required",$C19="Yes",F19&gt;0),$A19,0)</f>
        <v>0</v>
      </c>
      <c r="BA19" s="325">
        <f t="shared" ref="BA19:BA82" si="17">IF(AND($E19="Required",$C19="Yes",I19&gt;0),$A19,0)</f>
        <v>0</v>
      </c>
      <c r="BB19" s="325">
        <f t="shared" ref="BB19:BB82" si="18">IF(AND($E19="Required",$C19="Yes",L19&gt;0),$A19,0)</f>
        <v>0</v>
      </c>
      <c r="BC19" s="325">
        <f t="shared" ref="BC19:BC82" si="19">IF(AND($E19="Required",$C19="Yes",O19&gt;0),$A19,0)</f>
        <v>0</v>
      </c>
      <c r="BD19" s="325">
        <f t="shared" ref="BD19:BD82" si="20">IF(AND($E19="Required",$C19="Yes",R19&gt;0),$A19,0)</f>
        <v>0</v>
      </c>
    </row>
    <row r="20" spans="1:56" s="325" customFormat="1" ht="25.5" x14ac:dyDescent="0.2">
      <c r="A20" s="113">
        <v>1</v>
      </c>
      <c r="B20" s="113" t="s">
        <v>208</v>
      </c>
      <c r="C20" s="345" t="s">
        <v>0</v>
      </c>
      <c r="D20" s="117" t="s">
        <v>204</v>
      </c>
      <c r="E20" s="154" t="s">
        <v>351</v>
      </c>
      <c r="F20" s="193"/>
      <c r="G20" s="225"/>
      <c r="H20" s="323">
        <f t="shared" si="4"/>
        <v>1</v>
      </c>
      <c r="I20" s="193"/>
      <c r="J20" s="225"/>
      <c r="K20" s="323">
        <f t="shared" si="5"/>
        <v>1</v>
      </c>
      <c r="L20" s="193"/>
      <c r="M20" s="225"/>
      <c r="N20" s="323">
        <f t="shared" si="6"/>
        <v>1</v>
      </c>
      <c r="O20" s="193"/>
      <c r="P20" s="225"/>
      <c r="Q20" s="323">
        <f t="shared" si="7"/>
        <v>1</v>
      </c>
      <c r="R20" s="193"/>
      <c r="S20" s="225"/>
      <c r="T20" s="323">
        <f t="shared" si="8"/>
        <v>1</v>
      </c>
      <c r="U20" s="344"/>
      <c r="V20" s="415" t="s">
        <v>7</v>
      </c>
      <c r="W20" s="324">
        <f t="shared" si="3"/>
        <v>0</v>
      </c>
      <c r="X20" s="317" t="str">
        <f t="shared" si="9"/>
        <v>Yes1</v>
      </c>
      <c r="Y20" s="325">
        <v>0</v>
      </c>
      <c r="AA20" s="325">
        <v>1</v>
      </c>
      <c r="AB20" s="325">
        <v>2</v>
      </c>
      <c r="AC20" s="325">
        <v>3</v>
      </c>
      <c r="AD20" s="325">
        <v>4</v>
      </c>
      <c r="AE20" s="325">
        <v>5</v>
      </c>
      <c r="AF20" s="325">
        <v>6</v>
      </c>
      <c r="AG20" s="325">
        <v>7</v>
      </c>
      <c r="AH20" s="325">
        <v>8</v>
      </c>
      <c r="AI20" s="325">
        <f t="shared" si="10"/>
        <v>0</v>
      </c>
      <c r="AJ20" s="325">
        <f t="shared" si="11"/>
        <v>0</v>
      </c>
      <c r="AK20" s="325">
        <f t="shared" si="12"/>
        <v>0</v>
      </c>
      <c r="AL20" s="325">
        <f t="shared" si="13"/>
        <v>0</v>
      </c>
      <c r="AM20" s="325">
        <f t="shared" si="14"/>
        <v>0</v>
      </c>
      <c r="AY20" s="325">
        <f t="shared" si="15"/>
        <v>0</v>
      </c>
      <c r="AZ20" s="325">
        <f t="shared" si="16"/>
        <v>0</v>
      </c>
      <c r="BA20" s="325">
        <f t="shared" si="17"/>
        <v>0</v>
      </c>
      <c r="BB20" s="325">
        <f t="shared" si="18"/>
        <v>0</v>
      </c>
      <c r="BC20" s="325">
        <f t="shared" si="19"/>
        <v>0</v>
      </c>
      <c r="BD20" s="325">
        <f t="shared" si="20"/>
        <v>0</v>
      </c>
    </row>
    <row r="21" spans="1:56" s="325" customFormat="1" ht="15.75" x14ac:dyDescent="0.2">
      <c r="A21" s="113">
        <v>1</v>
      </c>
      <c r="B21" s="113" t="s">
        <v>209</v>
      </c>
      <c r="C21" s="345" t="s">
        <v>0</v>
      </c>
      <c r="D21" s="117" t="s">
        <v>152</v>
      </c>
      <c r="E21" s="154" t="s">
        <v>2</v>
      </c>
      <c r="F21" s="193"/>
      <c r="G21" s="225"/>
      <c r="H21" s="323">
        <f t="shared" si="4"/>
        <v>1</v>
      </c>
      <c r="I21" s="193"/>
      <c r="J21" s="225"/>
      <c r="K21" s="323">
        <f t="shared" si="5"/>
        <v>1</v>
      </c>
      <c r="L21" s="193"/>
      <c r="M21" s="225"/>
      <c r="N21" s="323">
        <f t="shared" si="6"/>
        <v>1</v>
      </c>
      <c r="O21" s="193"/>
      <c r="P21" s="225"/>
      <c r="Q21" s="323">
        <f t="shared" si="7"/>
        <v>1</v>
      </c>
      <c r="R21" s="193"/>
      <c r="S21" s="225"/>
      <c r="T21" s="323">
        <f t="shared" si="8"/>
        <v>1</v>
      </c>
      <c r="U21" s="344"/>
      <c r="V21" s="415" t="s">
        <v>11</v>
      </c>
      <c r="W21" s="324">
        <f t="shared" si="3"/>
        <v>0</v>
      </c>
      <c r="X21" s="317" t="str">
        <f t="shared" si="9"/>
        <v>Yes1</v>
      </c>
      <c r="Y21" s="325">
        <v>0</v>
      </c>
      <c r="AA21" s="325">
        <v>1</v>
      </c>
      <c r="AB21" s="325">
        <v>2</v>
      </c>
      <c r="AC21" s="325">
        <v>3</v>
      </c>
      <c r="AD21" s="325">
        <v>4</v>
      </c>
      <c r="AE21" s="325">
        <v>5</v>
      </c>
      <c r="AI21" s="325">
        <f t="shared" si="10"/>
        <v>0</v>
      </c>
      <c r="AJ21" s="325">
        <f t="shared" si="11"/>
        <v>0</v>
      </c>
      <c r="AK21" s="325">
        <f t="shared" si="12"/>
        <v>0</v>
      </c>
      <c r="AL21" s="325">
        <f t="shared" si="13"/>
        <v>0</v>
      </c>
      <c r="AM21" s="325">
        <f t="shared" si="14"/>
        <v>0</v>
      </c>
      <c r="AO21" s="325">
        <f>IF(AND(AP21+AQ21+AR21+AS21+AT21&gt;0,E21="Required",C21="Yes"),1,0)</f>
        <v>0</v>
      </c>
      <c r="AP21" s="325">
        <f>IF(AND($D$7="Programming",F21="",E21="Required",C21="Yes"),1,0)</f>
        <v>0</v>
      </c>
      <c r="AQ21" s="325">
        <f>IF(AND($D$7="Schematic Design",I21="",E21="Required",C21="Yes"),1,0)</f>
        <v>0</v>
      </c>
      <c r="AR21" s="325">
        <f>IF(AND($D$7="Detailed Design",L21="",E21="Required",C21="Yes"),1,0)</f>
        <v>0</v>
      </c>
      <c r="AS21" s="325">
        <f>IF(AND($D$7="Construction Documentation",O21="",E21="Required",C21="Yes"),1,0)</f>
        <v>0</v>
      </c>
      <c r="AT21" s="325">
        <f>IF(AND($D$7="Closeout",R21="",E21="Required",C21="Yes"),1,0)</f>
        <v>0</v>
      </c>
      <c r="AY21" s="325">
        <f t="shared" si="15"/>
        <v>1</v>
      </c>
      <c r="AZ21" s="325">
        <f t="shared" si="16"/>
        <v>0</v>
      </c>
      <c r="BA21" s="325">
        <f t="shared" si="17"/>
        <v>0</v>
      </c>
      <c r="BB21" s="325">
        <f t="shared" si="18"/>
        <v>0</v>
      </c>
      <c r="BC21" s="325">
        <f t="shared" si="19"/>
        <v>0</v>
      </c>
      <c r="BD21" s="325">
        <f t="shared" si="20"/>
        <v>0</v>
      </c>
    </row>
    <row r="22" spans="1:56" s="325" customFormat="1" ht="25.5" x14ac:dyDescent="0.2">
      <c r="A22" s="113">
        <v>1</v>
      </c>
      <c r="B22" s="113" t="s">
        <v>210</v>
      </c>
      <c r="C22" s="345" t="s">
        <v>0</v>
      </c>
      <c r="D22" s="117" t="s">
        <v>153</v>
      </c>
      <c r="E22" s="154" t="s">
        <v>351</v>
      </c>
      <c r="F22" s="193"/>
      <c r="G22" s="225"/>
      <c r="H22" s="323">
        <f t="shared" si="4"/>
        <v>1</v>
      </c>
      <c r="I22" s="193"/>
      <c r="J22" s="225"/>
      <c r="K22" s="323">
        <f t="shared" si="5"/>
        <v>1</v>
      </c>
      <c r="L22" s="193"/>
      <c r="M22" s="225"/>
      <c r="N22" s="323">
        <f t="shared" si="6"/>
        <v>1</v>
      </c>
      <c r="O22" s="193"/>
      <c r="P22" s="225"/>
      <c r="Q22" s="323">
        <f t="shared" si="7"/>
        <v>1</v>
      </c>
      <c r="R22" s="193"/>
      <c r="S22" s="225"/>
      <c r="T22" s="323">
        <f t="shared" si="8"/>
        <v>1</v>
      </c>
      <c r="U22" s="343"/>
      <c r="V22" s="415" t="s">
        <v>195</v>
      </c>
      <c r="W22" s="324">
        <f t="shared" si="3"/>
        <v>0</v>
      </c>
      <c r="X22" s="317" t="str">
        <f t="shared" si="9"/>
        <v>Yes1</v>
      </c>
      <c r="AA22" s="325">
        <v>2</v>
      </c>
      <c r="AI22" s="325">
        <f t="shared" si="10"/>
        <v>0</v>
      </c>
      <c r="AJ22" s="325">
        <f t="shared" si="11"/>
        <v>0</v>
      </c>
      <c r="AK22" s="325">
        <f t="shared" si="12"/>
        <v>0</v>
      </c>
      <c r="AL22" s="325">
        <f t="shared" si="13"/>
        <v>0</v>
      </c>
      <c r="AM22" s="325">
        <f t="shared" si="14"/>
        <v>0</v>
      </c>
      <c r="AY22" s="325">
        <f t="shared" si="15"/>
        <v>0</v>
      </c>
      <c r="AZ22" s="325">
        <f t="shared" si="16"/>
        <v>0</v>
      </c>
      <c r="BA22" s="325">
        <f t="shared" si="17"/>
        <v>0</v>
      </c>
      <c r="BB22" s="325">
        <f t="shared" si="18"/>
        <v>0</v>
      </c>
      <c r="BC22" s="325">
        <f t="shared" si="19"/>
        <v>0</v>
      </c>
      <c r="BD22" s="325">
        <f t="shared" si="20"/>
        <v>0</v>
      </c>
    </row>
    <row r="23" spans="1:56" s="325" customFormat="1" ht="15.75" x14ac:dyDescent="0.2">
      <c r="A23" s="113">
        <v>1</v>
      </c>
      <c r="B23" s="113" t="s">
        <v>211</v>
      </c>
      <c r="C23" s="345" t="s">
        <v>0</v>
      </c>
      <c r="D23" s="117" t="s">
        <v>154</v>
      </c>
      <c r="E23" s="154" t="s">
        <v>352</v>
      </c>
      <c r="F23" s="193"/>
      <c r="G23" s="225"/>
      <c r="H23" s="323">
        <f t="shared" si="4"/>
        <v>1</v>
      </c>
      <c r="I23" s="193"/>
      <c r="J23" s="225"/>
      <c r="K23" s="323">
        <f t="shared" si="5"/>
        <v>1</v>
      </c>
      <c r="L23" s="193"/>
      <c r="M23" s="225"/>
      <c r="N23" s="323">
        <f t="shared" si="6"/>
        <v>1</v>
      </c>
      <c r="O23" s="193"/>
      <c r="P23" s="225"/>
      <c r="Q23" s="323">
        <f t="shared" si="7"/>
        <v>1</v>
      </c>
      <c r="R23" s="193"/>
      <c r="S23" s="225"/>
      <c r="T23" s="323">
        <f t="shared" si="8"/>
        <v>1</v>
      </c>
      <c r="U23" s="344"/>
      <c r="V23" s="415" t="s">
        <v>7</v>
      </c>
      <c r="W23" s="324">
        <f t="shared" si="3"/>
        <v>0</v>
      </c>
      <c r="X23" s="317" t="str">
        <f t="shared" si="9"/>
        <v>Yes1</v>
      </c>
      <c r="AI23" s="325">
        <f t="shared" si="10"/>
        <v>0</v>
      </c>
      <c r="AJ23" s="325">
        <f t="shared" si="11"/>
        <v>0</v>
      </c>
      <c r="AK23" s="325">
        <f t="shared" si="12"/>
        <v>0</v>
      </c>
      <c r="AL23" s="325">
        <f t="shared" si="13"/>
        <v>0</v>
      </c>
      <c r="AM23" s="325">
        <f t="shared" si="14"/>
        <v>0</v>
      </c>
      <c r="AY23" s="325">
        <f t="shared" si="15"/>
        <v>0</v>
      </c>
      <c r="AZ23" s="325">
        <f t="shared" si="16"/>
        <v>0</v>
      </c>
      <c r="BA23" s="325">
        <f t="shared" si="17"/>
        <v>0</v>
      </c>
      <c r="BB23" s="325">
        <f t="shared" si="18"/>
        <v>0</v>
      </c>
      <c r="BC23" s="325">
        <f t="shared" si="19"/>
        <v>0</v>
      </c>
      <c r="BD23" s="325">
        <f t="shared" si="20"/>
        <v>0</v>
      </c>
    </row>
    <row r="24" spans="1:56" s="325" customFormat="1" ht="25.5" x14ac:dyDescent="0.2">
      <c r="A24" s="113">
        <v>1</v>
      </c>
      <c r="B24" s="113" t="s">
        <v>212</v>
      </c>
      <c r="C24" s="345" t="s">
        <v>0</v>
      </c>
      <c r="D24" s="117" t="s">
        <v>155</v>
      </c>
      <c r="E24" s="154" t="s">
        <v>352</v>
      </c>
      <c r="F24" s="193"/>
      <c r="G24" s="225"/>
      <c r="H24" s="323">
        <f t="shared" si="4"/>
        <v>1</v>
      </c>
      <c r="I24" s="193"/>
      <c r="J24" s="225"/>
      <c r="K24" s="323">
        <f t="shared" si="5"/>
        <v>1</v>
      </c>
      <c r="L24" s="193"/>
      <c r="M24" s="225"/>
      <c r="N24" s="323">
        <f t="shared" si="6"/>
        <v>1</v>
      </c>
      <c r="O24" s="193"/>
      <c r="P24" s="225"/>
      <c r="Q24" s="323">
        <f t="shared" si="7"/>
        <v>1</v>
      </c>
      <c r="R24" s="193"/>
      <c r="S24" s="225"/>
      <c r="T24" s="323">
        <f t="shared" si="8"/>
        <v>1</v>
      </c>
      <c r="U24" s="344"/>
      <c r="V24" s="415" t="s">
        <v>195</v>
      </c>
      <c r="W24" s="324">
        <f t="shared" si="3"/>
        <v>0</v>
      </c>
      <c r="X24" s="317" t="str">
        <f t="shared" si="9"/>
        <v>Yes1</v>
      </c>
      <c r="AI24" s="325">
        <f t="shared" si="10"/>
        <v>0</v>
      </c>
      <c r="AJ24" s="325">
        <f t="shared" si="11"/>
        <v>0</v>
      </c>
      <c r="AK24" s="325">
        <f t="shared" si="12"/>
        <v>0</v>
      </c>
      <c r="AL24" s="325">
        <f t="shared" si="13"/>
        <v>0</v>
      </c>
      <c r="AM24" s="325">
        <f t="shared" si="14"/>
        <v>0</v>
      </c>
      <c r="AY24" s="325">
        <f t="shared" si="15"/>
        <v>0</v>
      </c>
      <c r="AZ24" s="325">
        <f t="shared" si="16"/>
        <v>0</v>
      </c>
      <c r="BA24" s="325">
        <f t="shared" si="17"/>
        <v>0</v>
      </c>
      <c r="BB24" s="325">
        <f t="shared" si="18"/>
        <v>0</v>
      </c>
      <c r="BC24" s="325">
        <f t="shared" si="19"/>
        <v>0</v>
      </c>
      <c r="BD24" s="325">
        <f t="shared" si="20"/>
        <v>0</v>
      </c>
    </row>
    <row r="25" spans="1:56" s="325" customFormat="1" ht="25.5" x14ac:dyDescent="0.2">
      <c r="A25" s="113">
        <v>1</v>
      </c>
      <c r="B25" s="113" t="s">
        <v>213</v>
      </c>
      <c r="C25" s="345" t="s">
        <v>0</v>
      </c>
      <c r="D25" s="117" t="s">
        <v>156</v>
      </c>
      <c r="E25" s="154" t="s">
        <v>352</v>
      </c>
      <c r="F25" s="193"/>
      <c r="G25" s="225"/>
      <c r="H25" s="323">
        <f t="shared" si="4"/>
        <v>1</v>
      </c>
      <c r="I25" s="193"/>
      <c r="J25" s="225"/>
      <c r="K25" s="323">
        <f t="shared" si="5"/>
        <v>1</v>
      </c>
      <c r="L25" s="193"/>
      <c r="M25" s="225"/>
      <c r="N25" s="323">
        <f t="shared" si="6"/>
        <v>1</v>
      </c>
      <c r="O25" s="193"/>
      <c r="P25" s="225"/>
      <c r="Q25" s="323">
        <f t="shared" si="7"/>
        <v>1</v>
      </c>
      <c r="R25" s="193"/>
      <c r="S25" s="225"/>
      <c r="T25" s="323">
        <f t="shared" si="8"/>
        <v>1</v>
      </c>
      <c r="U25" s="344"/>
      <c r="V25" s="415" t="s">
        <v>195</v>
      </c>
      <c r="W25" s="324">
        <f t="shared" si="3"/>
        <v>0</v>
      </c>
      <c r="X25" s="317" t="str">
        <f t="shared" si="9"/>
        <v>Yes1</v>
      </c>
      <c r="AI25" s="325">
        <f t="shared" si="10"/>
        <v>0</v>
      </c>
      <c r="AJ25" s="325">
        <f t="shared" si="11"/>
        <v>0</v>
      </c>
      <c r="AK25" s="325">
        <f t="shared" si="12"/>
        <v>0</v>
      </c>
      <c r="AL25" s="325">
        <f t="shared" si="13"/>
        <v>0</v>
      </c>
      <c r="AM25" s="325">
        <f t="shared" si="14"/>
        <v>0</v>
      </c>
      <c r="AY25" s="325">
        <f t="shared" si="15"/>
        <v>0</v>
      </c>
      <c r="AZ25" s="325">
        <f t="shared" si="16"/>
        <v>0</v>
      </c>
      <c r="BA25" s="325">
        <f t="shared" si="17"/>
        <v>0</v>
      </c>
      <c r="BB25" s="325">
        <f t="shared" si="18"/>
        <v>0</v>
      </c>
      <c r="BC25" s="325">
        <f t="shared" si="19"/>
        <v>0</v>
      </c>
      <c r="BD25" s="325">
        <f t="shared" si="20"/>
        <v>0</v>
      </c>
    </row>
    <row r="26" spans="1:56" s="325" customFormat="1" ht="25.5" x14ac:dyDescent="0.2">
      <c r="A26" s="113">
        <v>1</v>
      </c>
      <c r="B26" s="113" t="s">
        <v>214</v>
      </c>
      <c r="C26" s="345" t="s">
        <v>0</v>
      </c>
      <c r="D26" s="117" t="s">
        <v>157</v>
      </c>
      <c r="E26" s="154" t="s">
        <v>352</v>
      </c>
      <c r="F26" s="193"/>
      <c r="G26" s="225"/>
      <c r="H26" s="323">
        <f t="shared" si="4"/>
        <v>1</v>
      </c>
      <c r="I26" s="193"/>
      <c r="J26" s="225"/>
      <c r="K26" s="323">
        <f t="shared" si="5"/>
        <v>1</v>
      </c>
      <c r="L26" s="193"/>
      <c r="M26" s="225"/>
      <c r="N26" s="323">
        <f t="shared" si="6"/>
        <v>1</v>
      </c>
      <c r="O26" s="193"/>
      <c r="P26" s="225"/>
      <c r="Q26" s="323">
        <f t="shared" si="7"/>
        <v>1</v>
      </c>
      <c r="R26" s="193"/>
      <c r="S26" s="225"/>
      <c r="T26" s="323">
        <f t="shared" si="8"/>
        <v>1</v>
      </c>
      <c r="U26" s="344"/>
      <c r="V26" s="415" t="s">
        <v>195</v>
      </c>
      <c r="W26" s="324">
        <f t="shared" si="3"/>
        <v>0</v>
      </c>
      <c r="X26" s="317" t="str">
        <f t="shared" si="9"/>
        <v>Yes1</v>
      </c>
      <c r="AI26" s="325">
        <f t="shared" si="10"/>
        <v>0</v>
      </c>
      <c r="AJ26" s="325">
        <f t="shared" si="11"/>
        <v>0</v>
      </c>
      <c r="AK26" s="325">
        <f t="shared" si="12"/>
        <v>0</v>
      </c>
      <c r="AL26" s="325">
        <f t="shared" si="13"/>
        <v>0</v>
      </c>
      <c r="AM26" s="325">
        <f t="shared" si="14"/>
        <v>0</v>
      </c>
      <c r="AY26" s="325">
        <f t="shared" si="15"/>
        <v>0</v>
      </c>
      <c r="AZ26" s="325">
        <f t="shared" si="16"/>
        <v>0</v>
      </c>
      <c r="BA26" s="325">
        <f t="shared" si="17"/>
        <v>0</v>
      </c>
      <c r="BB26" s="325">
        <f t="shared" si="18"/>
        <v>0</v>
      </c>
      <c r="BC26" s="325">
        <f t="shared" si="19"/>
        <v>0</v>
      </c>
      <c r="BD26" s="325">
        <f t="shared" si="20"/>
        <v>0</v>
      </c>
    </row>
    <row r="27" spans="1:56" s="325" customFormat="1" ht="15.75" x14ac:dyDescent="0.2">
      <c r="A27" s="113">
        <v>1</v>
      </c>
      <c r="B27" s="113" t="s">
        <v>215</v>
      </c>
      <c r="C27" s="345" t="s">
        <v>0</v>
      </c>
      <c r="D27" s="117" t="s">
        <v>158</v>
      </c>
      <c r="E27" s="154" t="s">
        <v>352</v>
      </c>
      <c r="F27" s="193"/>
      <c r="G27" s="225"/>
      <c r="H27" s="323">
        <f t="shared" si="4"/>
        <v>1</v>
      </c>
      <c r="I27" s="193"/>
      <c r="J27" s="225"/>
      <c r="K27" s="323">
        <f t="shared" si="5"/>
        <v>1</v>
      </c>
      <c r="L27" s="193"/>
      <c r="M27" s="225"/>
      <c r="N27" s="323">
        <f t="shared" si="6"/>
        <v>1</v>
      </c>
      <c r="O27" s="193"/>
      <c r="P27" s="225"/>
      <c r="Q27" s="323">
        <f t="shared" si="7"/>
        <v>1</v>
      </c>
      <c r="R27" s="193"/>
      <c r="S27" s="225"/>
      <c r="T27" s="323">
        <f t="shared" si="8"/>
        <v>1</v>
      </c>
      <c r="U27" s="344"/>
      <c r="V27" s="416" t="s">
        <v>119</v>
      </c>
      <c r="W27" s="324">
        <f t="shared" si="3"/>
        <v>0</v>
      </c>
      <c r="X27" s="317" t="str">
        <f t="shared" si="9"/>
        <v>Yes1</v>
      </c>
      <c r="AI27" s="325">
        <f t="shared" si="10"/>
        <v>0</v>
      </c>
      <c r="AJ27" s="325">
        <f t="shared" si="11"/>
        <v>0</v>
      </c>
      <c r="AK27" s="325">
        <f t="shared" si="12"/>
        <v>0</v>
      </c>
      <c r="AL27" s="325">
        <f t="shared" si="13"/>
        <v>0</v>
      </c>
      <c r="AM27" s="325">
        <f t="shared" si="14"/>
        <v>0</v>
      </c>
      <c r="AY27" s="325">
        <f t="shared" si="15"/>
        <v>0</v>
      </c>
      <c r="AZ27" s="325">
        <f t="shared" si="16"/>
        <v>0</v>
      </c>
      <c r="BA27" s="325">
        <f t="shared" si="17"/>
        <v>0</v>
      </c>
      <c r="BB27" s="325">
        <f t="shared" si="18"/>
        <v>0</v>
      </c>
      <c r="BC27" s="325">
        <f t="shared" si="19"/>
        <v>0</v>
      </c>
      <c r="BD27" s="325">
        <f t="shared" si="20"/>
        <v>0</v>
      </c>
    </row>
    <row r="28" spans="1:56" s="325" customFormat="1" ht="15.75" x14ac:dyDescent="0.2">
      <c r="A28" s="113">
        <v>1</v>
      </c>
      <c r="B28" s="113" t="s">
        <v>216</v>
      </c>
      <c r="C28" s="345" t="s">
        <v>0</v>
      </c>
      <c r="D28" s="117" t="s">
        <v>159</v>
      </c>
      <c r="E28" s="154" t="s">
        <v>2</v>
      </c>
      <c r="F28" s="193"/>
      <c r="G28" s="225"/>
      <c r="H28" s="323">
        <f t="shared" si="4"/>
        <v>1</v>
      </c>
      <c r="I28" s="193"/>
      <c r="J28" s="225"/>
      <c r="K28" s="323">
        <f t="shared" si="5"/>
        <v>1</v>
      </c>
      <c r="L28" s="193"/>
      <c r="M28" s="225"/>
      <c r="N28" s="323">
        <f t="shared" si="6"/>
        <v>1</v>
      </c>
      <c r="O28" s="193"/>
      <c r="P28" s="225"/>
      <c r="Q28" s="323">
        <f t="shared" si="7"/>
        <v>1</v>
      </c>
      <c r="R28" s="193"/>
      <c r="S28" s="225"/>
      <c r="T28" s="323">
        <f t="shared" si="8"/>
        <v>1</v>
      </c>
      <c r="U28" s="344"/>
      <c r="V28" s="416" t="s">
        <v>119</v>
      </c>
      <c r="W28" s="324">
        <f t="shared" si="3"/>
        <v>0</v>
      </c>
      <c r="X28" s="317" t="str">
        <f t="shared" si="9"/>
        <v>Yes1</v>
      </c>
      <c r="AI28" s="325">
        <f t="shared" si="10"/>
        <v>0</v>
      </c>
      <c r="AJ28" s="325">
        <f t="shared" si="11"/>
        <v>0</v>
      </c>
      <c r="AK28" s="325">
        <f t="shared" si="12"/>
        <v>0</v>
      </c>
      <c r="AL28" s="325">
        <f t="shared" si="13"/>
        <v>0</v>
      </c>
      <c r="AM28" s="325">
        <f t="shared" si="14"/>
        <v>0</v>
      </c>
      <c r="AO28" s="325">
        <f>IF(AND(AP28+AQ28+AR28+AS28+AT28&gt;0,E28="Required",C28="Yes"),1,0)</f>
        <v>0</v>
      </c>
      <c r="AP28" s="325">
        <f>IF(AND($D$7="Programming",F28="",E28="Required",C28="Yes"),1,0)</f>
        <v>0</v>
      </c>
      <c r="AQ28" s="325">
        <f>IF(AND($D$7="Schematic Design",I28="",E28="Required",C28="Yes"),1,0)</f>
        <v>0</v>
      </c>
      <c r="AR28" s="325">
        <f>IF(AND($D$7="Detailed Design",L28="",E28="Required",C28="Yes"),1,0)</f>
        <v>0</v>
      </c>
      <c r="AS28" s="325">
        <f>IF(AND($D$7="Construction Documentation",O28="",E28="Required",C28="Yes"),1,0)</f>
        <v>0</v>
      </c>
      <c r="AT28" s="325">
        <f>IF(AND($D$7="Closeout",R28="",E28="Required",C28="Yes"),1,0)</f>
        <v>0</v>
      </c>
      <c r="AY28" s="325">
        <f t="shared" si="15"/>
        <v>1</v>
      </c>
      <c r="AZ28" s="325">
        <f t="shared" si="16"/>
        <v>0</v>
      </c>
      <c r="BA28" s="325">
        <f t="shared" si="17"/>
        <v>0</v>
      </c>
      <c r="BB28" s="325">
        <f t="shared" si="18"/>
        <v>0</v>
      </c>
      <c r="BC28" s="325">
        <f t="shared" si="19"/>
        <v>0</v>
      </c>
      <c r="BD28" s="325">
        <f t="shared" si="20"/>
        <v>0</v>
      </c>
    </row>
    <row r="29" spans="1:56" s="325" customFormat="1" ht="15.75" x14ac:dyDescent="0.2">
      <c r="A29" s="113">
        <v>1</v>
      </c>
      <c r="B29" s="113" t="s">
        <v>127</v>
      </c>
      <c r="C29" s="345" t="s">
        <v>0</v>
      </c>
      <c r="D29" s="117" t="s">
        <v>160</v>
      </c>
      <c r="E29" s="154" t="s">
        <v>351</v>
      </c>
      <c r="F29" s="193"/>
      <c r="G29" s="225"/>
      <c r="H29" s="323">
        <f t="shared" si="4"/>
        <v>1</v>
      </c>
      <c r="I29" s="193"/>
      <c r="J29" s="225"/>
      <c r="K29" s="323">
        <f t="shared" si="5"/>
        <v>1</v>
      </c>
      <c r="L29" s="193"/>
      <c r="M29" s="225"/>
      <c r="N29" s="323">
        <f t="shared" si="6"/>
        <v>1</v>
      </c>
      <c r="O29" s="193"/>
      <c r="P29" s="225"/>
      <c r="Q29" s="323">
        <f t="shared" si="7"/>
        <v>1</v>
      </c>
      <c r="R29" s="193"/>
      <c r="S29" s="225"/>
      <c r="T29" s="323">
        <f t="shared" si="8"/>
        <v>1</v>
      </c>
      <c r="U29" s="344"/>
      <c r="V29" s="415" t="s">
        <v>195</v>
      </c>
      <c r="W29" s="324">
        <f t="shared" si="3"/>
        <v>0</v>
      </c>
      <c r="X29" s="317" t="str">
        <f t="shared" si="9"/>
        <v>Yes1</v>
      </c>
      <c r="AI29" s="325">
        <f t="shared" si="10"/>
        <v>0</v>
      </c>
      <c r="AJ29" s="325">
        <f t="shared" si="11"/>
        <v>0</v>
      </c>
      <c r="AK29" s="325">
        <f t="shared" si="12"/>
        <v>0</v>
      </c>
      <c r="AL29" s="325">
        <f t="shared" si="13"/>
        <v>0</v>
      </c>
      <c r="AM29" s="325">
        <f t="shared" si="14"/>
        <v>0</v>
      </c>
      <c r="AY29" s="325">
        <f t="shared" si="15"/>
        <v>0</v>
      </c>
      <c r="AZ29" s="325">
        <f t="shared" si="16"/>
        <v>0</v>
      </c>
      <c r="BA29" s="325">
        <f t="shared" si="17"/>
        <v>0</v>
      </c>
      <c r="BB29" s="325">
        <f t="shared" si="18"/>
        <v>0</v>
      </c>
      <c r="BC29" s="325">
        <f t="shared" si="19"/>
        <v>0</v>
      </c>
      <c r="BD29" s="325">
        <f t="shared" si="20"/>
        <v>0</v>
      </c>
    </row>
    <row r="30" spans="1:56" s="325" customFormat="1" ht="15.75" x14ac:dyDescent="0.2">
      <c r="A30" s="113">
        <v>1</v>
      </c>
      <c r="B30" s="113" t="s">
        <v>390</v>
      </c>
      <c r="C30" s="345" t="s">
        <v>0</v>
      </c>
      <c r="D30" s="117" t="s">
        <v>161</v>
      </c>
      <c r="E30" s="154" t="s">
        <v>352</v>
      </c>
      <c r="F30" s="193"/>
      <c r="G30" s="225"/>
      <c r="H30" s="323">
        <f t="shared" si="4"/>
        <v>1</v>
      </c>
      <c r="I30" s="193"/>
      <c r="J30" s="225"/>
      <c r="K30" s="323">
        <f t="shared" si="5"/>
        <v>1</v>
      </c>
      <c r="L30" s="193"/>
      <c r="M30" s="225"/>
      <c r="N30" s="323">
        <f t="shared" si="6"/>
        <v>1</v>
      </c>
      <c r="O30" s="193"/>
      <c r="P30" s="225"/>
      <c r="Q30" s="323">
        <f t="shared" si="7"/>
        <v>1</v>
      </c>
      <c r="R30" s="193"/>
      <c r="S30" s="225"/>
      <c r="T30" s="323">
        <f t="shared" si="8"/>
        <v>1</v>
      </c>
      <c r="U30" s="344"/>
      <c r="V30" s="415" t="s">
        <v>196</v>
      </c>
      <c r="W30" s="324">
        <f t="shared" si="3"/>
        <v>0</v>
      </c>
      <c r="X30" s="317" t="str">
        <f t="shared" si="9"/>
        <v>Yes1</v>
      </c>
      <c r="AI30" s="325">
        <f t="shared" si="10"/>
        <v>0</v>
      </c>
      <c r="AJ30" s="325">
        <f t="shared" si="11"/>
        <v>0</v>
      </c>
      <c r="AK30" s="325">
        <f t="shared" si="12"/>
        <v>0</v>
      </c>
      <c r="AL30" s="325">
        <f t="shared" si="13"/>
        <v>0</v>
      </c>
      <c r="AM30" s="325">
        <f t="shared" si="14"/>
        <v>0</v>
      </c>
      <c r="AY30" s="325">
        <f t="shared" si="15"/>
        <v>0</v>
      </c>
      <c r="AZ30" s="325">
        <f t="shared" si="16"/>
        <v>0</v>
      </c>
      <c r="BA30" s="325">
        <f t="shared" si="17"/>
        <v>0</v>
      </c>
      <c r="BB30" s="325">
        <f t="shared" si="18"/>
        <v>0</v>
      </c>
      <c r="BC30" s="325">
        <f t="shared" si="19"/>
        <v>0</v>
      </c>
      <c r="BD30" s="325">
        <f t="shared" si="20"/>
        <v>0</v>
      </c>
    </row>
    <row r="31" spans="1:56" s="325" customFormat="1" ht="25.5" x14ac:dyDescent="0.2">
      <c r="A31" s="113">
        <v>1</v>
      </c>
      <c r="B31" s="113" t="s">
        <v>121</v>
      </c>
      <c r="C31" s="345" t="s">
        <v>0</v>
      </c>
      <c r="D31" s="117" t="s">
        <v>162</v>
      </c>
      <c r="E31" s="154" t="s">
        <v>351</v>
      </c>
      <c r="F31" s="193"/>
      <c r="G31" s="225"/>
      <c r="H31" s="323">
        <f t="shared" si="4"/>
        <v>1</v>
      </c>
      <c r="I31" s="193"/>
      <c r="J31" s="225"/>
      <c r="K31" s="323">
        <f t="shared" si="5"/>
        <v>1</v>
      </c>
      <c r="L31" s="193"/>
      <c r="M31" s="225"/>
      <c r="N31" s="323">
        <f t="shared" si="6"/>
        <v>1</v>
      </c>
      <c r="O31" s="193"/>
      <c r="P31" s="225"/>
      <c r="Q31" s="323">
        <f t="shared" si="7"/>
        <v>1</v>
      </c>
      <c r="R31" s="193"/>
      <c r="S31" s="225"/>
      <c r="T31" s="323">
        <f t="shared" si="8"/>
        <v>1</v>
      </c>
      <c r="U31" s="344"/>
      <c r="V31" s="415" t="s">
        <v>195</v>
      </c>
      <c r="W31" s="324">
        <f t="shared" si="3"/>
        <v>0</v>
      </c>
      <c r="X31" s="317" t="str">
        <f t="shared" si="9"/>
        <v>Yes1</v>
      </c>
      <c r="Y31" s="325" t="str">
        <f>IF(C32="Yes","NotAllowed","Allowed")</f>
        <v>Allowed</v>
      </c>
      <c r="AI31" s="325">
        <f t="shared" si="10"/>
        <v>0</v>
      </c>
      <c r="AJ31" s="325">
        <f t="shared" si="11"/>
        <v>0</v>
      </c>
      <c r="AK31" s="325">
        <f t="shared" si="12"/>
        <v>0</v>
      </c>
      <c r="AL31" s="325">
        <f t="shared" si="13"/>
        <v>0</v>
      </c>
      <c r="AM31" s="325">
        <f t="shared" si="14"/>
        <v>0</v>
      </c>
      <c r="AY31" s="325">
        <f t="shared" si="15"/>
        <v>0</v>
      </c>
      <c r="AZ31" s="325">
        <f t="shared" si="16"/>
        <v>0</v>
      </c>
      <c r="BA31" s="325">
        <f t="shared" si="17"/>
        <v>0</v>
      </c>
      <c r="BB31" s="325">
        <f t="shared" si="18"/>
        <v>0</v>
      </c>
      <c r="BC31" s="325">
        <f t="shared" si="19"/>
        <v>0</v>
      </c>
      <c r="BD31" s="325">
        <f t="shared" si="20"/>
        <v>0</v>
      </c>
    </row>
    <row r="32" spans="1:56" s="325" customFormat="1" ht="25.5" x14ac:dyDescent="0.2">
      <c r="A32" s="113">
        <v>2</v>
      </c>
      <c r="B32" s="113" t="s">
        <v>217</v>
      </c>
      <c r="C32" s="345" t="s">
        <v>1</v>
      </c>
      <c r="D32" s="117" t="s">
        <v>163</v>
      </c>
      <c r="E32" s="154" t="s">
        <v>352</v>
      </c>
      <c r="F32" s="193"/>
      <c r="G32" s="278"/>
      <c r="H32" s="323">
        <f t="shared" si="4"/>
        <v>2</v>
      </c>
      <c r="I32" s="193"/>
      <c r="J32" s="278"/>
      <c r="K32" s="323">
        <f t="shared" si="5"/>
        <v>2</v>
      </c>
      <c r="L32" s="193"/>
      <c r="M32" s="278"/>
      <c r="N32" s="323">
        <f t="shared" si="6"/>
        <v>2</v>
      </c>
      <c r="O32" s="193"/>
      <c r="P32" s="278"/>
      <c r="Q32" s="323">
        <f t="shared" si="7"/>
        <v>2</v>
      </c>
      <c r="R32" s="193"/>
      <c r="S32" s="278"/>
      <c r="T32" s="323">
        <f t="shared" si="8"/>
        <v>2</v>
      </c>
      <c r="U32" s="344"/>
      <c r="V32" s="415" t="s">
        <v>195</v>
      </c>
      <c r="W32" s="324">
        <f t="shared" si="3"/>
        <v>0</v>
      </c>
      <c r="X32" s="317" t="str">
        <f>IF(C32="Yes","Yes2Only","Zero2")</f>
        <v>Zero2</v>
      </c>
      <c r="Y32" s="325" t="str">
        <f>IF(C31="Yes","NotAllowed","Allowed")</f>
        <v>NotAllowed</v>
      </c>
      <c r="AA32" s="326" t="s">
        <v>1</v>
      </c>
      <c r="AB32" s="326" t="s">
        <v>0</v>
      </c>
      <c r="AC32" s="326" t="s">
        <v>1</v>
      </c>
      <c r="AI32" s="325">
        <f t="shared" si="10"/>
        <v>0</v>
      </c>
      <c r="AJ32" s="325">
        <f t="shared" si="11"/>
        <v>0</v>
      </c>
      <c r="AK32" s="325">
        <f t="shared" si="12"/>
        <v>0</v>
      </c>
      <c r="AL32" s="325">
        <f t="shared" si="13"/>
        <v>0</v>
      </c>
      <c r="AM32" s="325">
        <f t="shared" si="14"/>
        <v>0</v>
      </c>
      <c r="AN32" s="325">
        <f>IF(AND(C31="Yes",C32="Yes"),"ERROR",0)</f>
        <v>0</v>
      </c>
      <c r="AY32" s="325">
        <f t="shared" si="15"/>
        <v>0</v>
      </c>
      <c r="AZ32" s="325">
        <f t="shared" si="16"/>
        <v>0</v>
      </c>
      <c r="BA32" s="325">
        <f t="shared" si="17"/>
        <v>0</v>
      </c>
      <c r="BB32" s="325">
        <f t="shared" si="18"/>
        <v>0</v>
      </c>
      <c r="BC32" s="325">
        <f t="shared" si="19"/>
        <v>0</v>
      </c>
      <c r="BD32" s="325">
        <f t="shared" si="20"/>
        <v>0</v>
      </c>
    </row>
    <row r="33" spans="1:258" s="325" customFormat="1" ht="25.5" x14ac:dyDescent="0.2">
      <c r="A33" s="113">
        <v>1</v>
      </c>
      <c r="B33" s="113" t="s">
        <v>218</v>
      </c>
      <c r="C33" s="345" t="s">
        <v>0</v>
      </c>
      <c r="D33" s="117" t="s">
        <v>164</v>
      </c>
      <c r="E33" s="154" t="s">
        <v>351</v>
      </c>
      <c r="F33" s="193"/>
      <c r="G33" s="225"/>
      <c r="H33" s="323">
        <f t="shared" si="4"/>
        <v>1</v>
      </c>
      <c r="I33" s="193"/>
      <c r="J33" s="225"/>
      <c r="K33" s="323">
        <f t="shared" si="5"/>
        <v>1</v>
      </c>
      <c r="L33" s="193"/>
      <c r="M33" s="225"/>
      <c r="N33" s="323">
        <f t="shared" si="6"/>
        <v>1</v>
      </c>
      <c r="O33" s="193"/>
      <c r="P33" s="225"/>
      <c r="Q33" s="323">
        <f t="shared" si="7"/>
        <v>1</v>
      </c>
      <c r="R33" s="193"/>
      <c r="S33" s="225"/>
      <c r="T33" s="323">
        <f t="shared" si="8"/>
        <v>1</v>
      </c>
      <c r="U33" s="344"/>
      <c r="V33" s="415" t="s">
        <v>195</v>
      </c>
      <c r="W33" s="324">
        <f t="shared" si="3"/>
        <v>0</v>
      </c>
      <c r="X33" s="317" t="str">
        <f t="shared" si="9"/>
        <v>Yes1</v>
      </c>
      <c r="AI33" s="325">
        <f t="shared" si="10"/>
        <v>0</v>
      </c>
      <c r="AJ33" s="325">
        <f t="shared" si="11"/>
        <v>0</v>
      </c>
      <c r="AK33" s="325">
        <f t="shared" si="12"/>
        <v>0</v>
      </c>
      <c r="AL33" s="325">
        <f t="shared" si="13"/>
        <v>0</v>
      </c>
      <c r="AM33" s="325">
        <f t="shared" si="14"/>
        <v>0</v>
      </c>
      <c r="AY33" s="325">
        <f t="shared" si="15"/>
        <v>0</v>
      </c>
      <c r="AZ33" s="325">
        <f t="shared" si="16"/>
        <v>0</v>
      </c>
      <c r="BA33" s="325">
        <f t="shared" si="17"/>
        <v>0</v>
      </c>
      <c r="BB33" s="325">
        <f t="shared" si="18"/>
        <v>0</v>
      </c>
      <c r="BC33" s="325">
        <f t="shared" si="19"/>
        <v>0</v>
      </c>
      <c r="BD33" s="325">
        <f t="shared" si="20"/>
        <v>0</v>
      </c>
    </row>
    <row r="34" spans="1:258" s="325" customFormat="1" ht="15.75" x14ac:dyDescent="0.2">
      <c r="A34" s="113">
        <v>1</v>
      </c>
      <c r="B34" s="113" t="s">
        <v>219</v>
      </c>
      <c r="C34" s="345" t="s">
        <v>0</v>
      </c>
      <c r="D34" s="117" t="s">
        <v>165</v>
      </c>
      <c r="E34" s="154" t="s">
        <v>2</v>
      </c>
      <c r="F34" s="193"/>
      <c r="G34" s="225"/>
      <c r="H34" s="323">
        <f t="shared" si="4"/>
        <v>1</v>
      </c>
      <c r="I34" s="193"/>
      <c r="J34" s="225"/>
      <c r="K34" s="323">
        <f t="shared" si="5"/>
        <v>1</v>
      </c>
      <c r="L34" s="193"/>
      <c r="M34" s="225"/>
      <c r="N34" s="323">
        <f t="shared" si="6"/>
        <v>1</v>
      </c>
      <c r="O34" s="193"/>
      <c r="P34" s="225"/>
      <c r="Q34" s="323">
        <f t="shared" si="7"/>
        <v>1</v>
      </c>
      <c r="R34" s="193"/>
      <c r="S34" s="225"/>
      <c r="T34" s="323">
        <f t="shared" si="8"/>
        <v>1</v>
      </c>
      <c r="U34" s="344"/>
      <c r="V34" s="415" t="s">
        <v>195</v>
      </c>
      <c r="W34" s="324">
        <f t="shared" si="3"/>
        <v>0</v>
      </c>
      <c r="X34" s="317" t="str">
        <f t="shared" si="9"/>
        <v>Yes1</v>
      </c>
      <c r="AI34" s="325">
        <f t="shared" si="10"/>
        <v>0</v>
      </c>
      <c r="AJ34" s="325">
        <f t="shared" si="11"/>
        <v>0</v>
      </c>
      <c r="AK34" s="325">
        <f t="shared" si="12"/>
        <v>0</v>
      </c>
      <c r="AL34" s="325">
        <f t="shared" si="13"/>
        <v>0</v>
      </c>
      <c r="AM34" s="325">
        <f t="shared" si="14"/>
        <v>0</v>
      </c>
      <c r="AO34" s="325">
        <f>IF(AND(AP34+AQ34+AR34+AS34+AT34&gt;0,E34="Required",C34="Yes"),1,0)</f>
        <v>0</v>
      </c>
      <c r="AP34" s="325">
        <f>IF(AND($D$7="Programming",F34="",E34="Required",C34="Yes"),1,0)</f>
        <v>0</v>
      </c>
      <c r="AQ34" s="325">
        <f>IF(AND($D$7="Schematic Design",I34="",E34="Required",C34="Yes"),1,0)</f>
        <v>0</v>
      </c>
      <c r="AR34" s="325">
        <f>IF(AND($D$7="Detailed Design",L34="",E34="Required",C34="Yes"),1,0)</f>
        <v>0</v>
      </c>
      <c r="AS34" s="325">
        <f>IF(AND($D$7="Construction Documentation",O34="",E34="Required",C34="Yes"),1,0)</f>
        <v>0</v>
      </c>
      <c r="AT34" s="325">
        <f>IF(AND($D$7="Closeout",R34="",E34="Required",C34="Yes"),1,0)</f>
        <v>0</v>
      </c>
      <c r="AY34" s="325">
        <f t="shared" si="15"/>
        <v>1</v>
      </c>
      <c r="AZ34" s="325">
        <f t="shared" si="16"/>
        <v>0</v>
      </c>
      <c r="BA34" s="325">
        <f t="shared" si="17"/>
        <v>0</v>
      </c>
      <c r="BB34" s="325">
        <f t="shared" si="18"/>
        <v>0</v>
      </c>
      <c r="BC34" s="325">
        <f t="shared" si="19"/>
        <v>0</v>
      </c>
      <c r="BD34" s="325">
        <f t="shared" si="20"/>
        <v>0</v>
      </c>
    </row>
    <row r="35" spans="1:258" s="325" customFormat="1" ht="25.5" x14ac:dyDescent="0.2">
      <c r="A35" s="113">
        <v>1</v>
      </c>
      <c r="B35" s="113" t="s">
        <v>220</v>
      </c>
      <c r="C35" s="345" t="s">
        <v>0</v>
      </c>
      <c r="D35" s="149" t="s">
        <v>463</v>
      </c>
      <c r="E35" s="154" t="s">
        <v>352</v>
      </c>
      <c r="F35" s="193"/>
      <c r="G35" s="225"/>
      <c r="H35" s="323">
        <f t="shared" si="4"/>
        <v>1</v>
      </c>
      <c r="I35" s="193"/>
      <c r="J35" s="225"/>
      <c r="K35" s="323">
        <f t="shared" si="5"/>
        <v>1</v>
      </c>
      <c r="L35" s="193"/>
      <c r="M35" s="225"/>
      <c r="N35" s="323">
        <f t="shared" si="6"/>
        <v>1</v>
      </c>
      <c r="O35" s="193"/>
      <c r="P35" s="225"/>
      <c r="Q35" s="323">
        <f t="shared" si="7"/>
        <v>1</v>
      </c>
      <c r="R35" s="193"/>
      <c r="S35" s="225"/>
      <c r="T35" s="323">
        <f t="shared" si="8"/>
        <v>1</v>
      </c>
      <c r="U35" s="344"/>
      <c r="V35" s="415" t="s">
        <v>194</v>
      </c>
      <c r="W35" s="324">
        <f t="shared" si="3"/>
        <v>0</v>
      </c>
      <c r="X35" s="317" t="str">
        <f t="shared" si="9"/>
        <v>Yes1</v>
      </c>
      <c r="AI35" s="325">
        <f t="shared" si="10"/>
        <v>0</v>
      </c>
      <c r="AJ35" s="325">
        <f t="shared" si="11"/>
        <v>0</v>
      </c>
      <c r="AK35" s="325">
        <f t="shared" si="12"/>
        <v>0</v>
      </c>
      <c r="AL35" s="325">
        <f t="shared" si="13"/>
        <v>0</v>
      </c>
      <c r="AM35" s="325">
        <f t="shared" si="14"/>
        <v>0</v>
      </c>
      <c r="AY35" s="325">
        <f t="shared" si="15"/>
        <v>0</v>
      </c>
      <c r="AZ35" s="325">
        <f t="shared" si="16"/>
        <v>0</v>
      </c>
      <c r="BA35" s="325">
        <f t="shared" si="17"/>
        <v>0</v>
      </c>
      <c r="BB35" s="325">
        <f t="shared" si="18"/>
        <v>0</v>
      </c>
      <c r="BC35" s="325">
        <f t="shared" si="19"/>
        <v>0</v>
      </c>
      <c r="BD35" s="325">
        <f t="shared" si="20"/>
        <v>0</v>
      </c>
    </row>
    <row r="36" spans="1:258" s="325" customFormat="1" ht="25.5" x14ac:dyDescent="0.2">
      <c r="A36" s="113">
        <v>1</v>
      </c>
      <c r="B36" s="113" t="s">
        <v>122</v>
      </c>
      <c r="C36" s="345" t="s">
        <v>0</v>
      </c>
      <c r="D36" s="117" t="s">
        <v>166</v>
      </c>
      <c r="E36" s="154" t="s">
        <v>351</v>
      </c>
      <c r="F36" s="193"/>
      <c r="G36" s="225"/>
      <c r="H36" s="323">
        <f t="shared" si="4"/>
        <v>1</v>
      </c>
      <c r="I36" s="193"/>
      <c r="J36" s="225"/>
      <c r="K36" s="323">
        <f t="shared" si="5"/>
        <v>1</v>
      </c>
      <c r="L36" s="193"/>
      <c r="M36" s="225"/>
      <c r="N36" s="323">
        <f t="shared" si="6"/>
        <v>1</v>
      </c>
      <c r="O36" s="193"/>
      <c r="P36" s="225"/>
      <c r="Q36" s="323">
        <f t="shared" si="7"/>
        <v>1</v>
      </c>
      <c r="R36" s="193"/>
      <c r="S36" s="225"/>
      <c r="T36" s="323">
        <f t="shared" si="8"/>
        <v>1</v>
      </c>
      <c r="U36" s="344"/>
      <c r="V36" s="415" t="s">
        <v>194</v>
      </c>
      <c r="W36" s="324">
        <f t="shared" si="3"/>
        <v>0</v>
      </c>
      <c r="X36" s="317" t="str">
        <f t="shared" si="9"/>
        <v>Yes1</v>
      </c>
      <c r="AI36" s="325">
        <f t="shared" si="10"/>
        <v>0</v>
      </c>
      <c r="AJ36" s="325">
        <f t="shared" si="11"/>
        <v>0</v>
      </c>
      <c r="AK36" s="325">
        <f t="shared" si="12"/>
        <v>0</v>
      </c>
      <c r="AL36" s="325">
        <f t="shared" si="13"/>
        <v>0</v>
      </c>
      <c r="AM36" s="325">
        <f t="shared" si="14"/>
        <v>0</v>
      </c>
      <c r="AY36" s="325">
        <f t="shared" si="15"/>
        <v>0</v>
      </c>
      <c r="AZ36" s="325">
        <f t="shared" si="16"/>
        <v>0</v>
      </c>
      <c r="BA36" s="325">
        <f t="shared" si="17"/>
        <v>0</v>
      </c>
      <c r="BB36" s="325">
        <f t="shared" si="18"/>
        <v>0</v>
      </c>
      <c r="BC36" s="325">
        <f t="shared" si="19"/>
        <v>0</v>
      </c>
      <c r="BD36" s="325">
        <f t="shared" si="20"/>
        <v>0</v>
      </c>
    </row>
    <row r="37" spans="1:258" s="325" customFormat="1" ht="25.5" x14ac:dyDescent="0.2">
      <c r="A37" s="113">
        <v>1</v>
      </c>
      <c r="B37" s="113" t="s">
        <v>123</v>
      </c>
      <c r="C37" s="345" t="s">
        <v>0</v>
      </c>
      <c r="D37" s="117" t="s">
        <v>356</v>
      </c>
      <c r="E37" s="154" t="s">
        <v>351</v>
      </c>
      <c r="F37" s="193"/>
      <c r="G37" s="225"/>
      <c r="H37" s="323">
        <f t="shared" ref="H37" si="21">$A37-F37-G37</f>
        <v>1</v>
      </c>
      <c r="I37" s="193"/>
      <c r="J37" s="225"/>
      <c r="K37" s="323">
        <f t="shared" ref="K37" si="22">$A37-I37-J37</f>
        <v>1</v>
      </c>
      <c r="L37" s="193"/>
      <c r="M37" s="225"/>
      <c r="N37" s="323">
        <f t="shared" ref="N37" si="23">$A37-L37-M37</f>
        <v>1</v>
      </c>
      <c r="O37" s="193"/>
      <c r="P37" s="225"/>
      <c r="Q37" s="323">
        <f t="shared" ref="Q37" si="24">$A37-O37-P37</f>
        <v>1</v>
      </c>
      <c r="R37" s="193"/>
      <c r="S37" s="225"/>
      <c r="T37" s="323">
        <f t="shared" ref="T37" si="25">$A37-R37-S37</f>
        <v>1</v>
      </c>
      <c r="U37" s="344"/>
      <c r="V37" s="415" t="s">
        <v>194</v>
      </c>
      <c r="W37" s="324">
        <f t="shared" si="3"/>
        <v>0</v>
      </c>
      <c r="X37" s="317" t="str">
        <f t="shared" si="9"/>
        <v>Yes1</v>
      </c>
      <c r="AI37" s="325">
        <f t="shared" si="10"/>
        <v>0</v>
      </c>
      <c r="AJ37" s="325">
        <f t="shared" si="11"/>
        <v>0</v>
      </c>
      <c r="AK37" s="325">
        <f t="shared" si="12"/>
        <v>0</v>
      </c>
      <c r="AL37" s="325">
        <f t="shared" si="13"/>
        <v>0</v>
      </c>
      <c r="AM37" s="325">
        <f t="shared" si="14"/>
        <v>0</v>
      </c>
      <c r="AY37" s="325">
        <f t="shared" si="15"/>
        <v>0</v>
      </c>
      <c r="AZ37" s="325">
        <f t="shared" si="16"/>
        <v>0</v>
      </c>
      <c r="BA37" s="325">
        <f t="shared" si="17"/>
        <v>0</v>
      </c>
      <c r="BB37" s="325">
        <f t="shared" si="18"/>
        <v>0</v>
      </c>
      <c r="BC37" s="325">
        <f t="shared" si="19"/>
        <v>0</v>
      </c>
      <c r="BD37" s="325">
        <f t="shared" si="20"/>
        <v>0</v>
      </c>
    </row>
    <row r="38" spans="1:258" ht="39.950000000000003" customHeight="1" x14ac:dyDescent="0.2">
      <c r="A38" s="119" t="s">
        <v>688</v>
      </c>
      <c r="B38" s="120"/>
      <c r="C38" s="475"/>
      <c r="D38" s="121" t="s">
        <v>133</v>
      </c>
      <c r="E38" s="155" t="s">
        <v>269</v>
      </c>
      <c r="F38" s="178">
        <f t="shared" ref="F38:S38" si="26">SUM(F40:F45)</f>
        <v>0</v>
      </c>
      <c r="G38" s="223">
        <f t="shared" si="26"/>
        <v>0</v>
      </c>
      <c r="H38" s="172">
        <f t="shared" si="26"/>
        <v>7</v>
      </c>
      <c r="I38" s="178">
        <f t="shared" si="26"/>
        <v>0</v>
      </c>
      <c r="J38" s="223">
        <f t="shared" si="26"/>
        <v>0</v>
      </c>
      <c r="K38" s="172">
        <f t="shared" ref="K38" si="27">SUM(K40:K45)</f>
        <v>7</v>
      </c>
      <c r="L38" s="178">
        <f>SUM(L40:L45)</f>
        <v>0</v>
      </c>
      <c r="M38" s="223">
        <f>SUM(M40:M45)</f>
        <v>0</v>
      </c>
      <c r="N38" s="172">
        <f t="shared" ref="N38" si="28">SUM(N40:N45)</f>
        <v>7</v>
      </c>
      <c r="O38" s="178">
        <f t="shared" si="26"/>
        <v>0</v>
      </c>
      <c r="P38" s="223">
        <f t="shared" si="26"/>
        <v>0</v>
      </c>
      <c r="Q38" s="172">
        <f t="shared" ref="Q38" si="29">SUM(Q40:Q45)</f>
        <v>7</v>
      </c>
      <c r="R38" s="178">
        <f t="shared" si="26"/>
        <v>0</v>
      </c>
      <c r="S38" s="223">
        <f t="shared" si="26"/>
        <v>0</v>
      </c>
      <c r="T38" s="172">
        <f t="shared" ref="T38" si="30">SUM(T40:T45)</f>
        <v>7</v>
      </c>
      <c r="U38" s="185"/>
      <c r="V38" s="757" t="s">
        <v>201</v>
      </c>
      <c r="W38" s="758"/>
      <c r="X38" s="317" t="str">
        <f t="shared" si="9"/>
        <v>Zero1</v>
      </c>
      <c r="AY38" s="325">
        <f t="shared" si="15"/>
        <v>0</v>
      </c>
      <c r="AZ38" s="325">
        <f t="shared" si="16"/>
        <v>0</v>
      </c>
      <c r="BA38" s="325">
        <f t="shared" si="17"/>
        <v>0</v>
      </c>
      <c r="BB38" s="325">
        <f t="shared" si="18"/>
        <v>0</v>
      </c>
      <c r="BC38" s="325">
        <f t="shared" si="19"/>
        <v>0</v>
      </c>
      <c r="BD38" s="325">
        <f t="shared" si="20"/>
        <v>0</v>
      </c>
    </row>
    <row r="39" spans="1:258" s="337" customFormat="1" ht="66.75" x14ac:dyDescent="0.2">
      <c r="A39" s="111" t="s">
        <v>350</v>
      </c>
      <c r="B39" s="111" t="s">
        <v>139</v>
      </c>
      <c r="C39" s="111" t="s">
        <v>326</v>
      </c>
      <c r="D39" s="112" t="s">
        <v>3</v>
      </c>
      <c r="E39" s="153" t="s">
        <v>300</v>
      </c>
      <c r="F39" s="179" t="s">
        <v>0</v>
      </c>
      <c r="G39" s="224" t="s">
        <v>12</v>
      </c>
      <c r="H39" s="173" t="s">
        <v>1</v>
      </c>
      <c r="I39" s="179" t="s">
        <v>0</v>
      </c>
      <c r="J39" s="224" t="s">
        <v>12</v>
      </c>
      <c r="K39" s="173" t="s">
        <v>1</v>
      </c>
      <c r="L39" s="179" t="s">
        <v>0</v>
      </c>
      <c r="M39" s="224" t="s">
        <v>12</v>
      </c>
      <c r="N39" s="173" t="s">
        <v>1</v>
      </c>
      <c r="O39" s="179" t="s">
        <v>0</v>
      </c>
      <c r="P39" s="224" t="s">
        <v>12</v>
      </c>
      <c r="Q39" s="173" t="s">
        <v>1</v>
      </c>
      <c r="R39" s="179" t="s">
        <v>0</v>
      </c>
      <c r="S39" s="224" t="s">
        <v>12</v>
      </c>
      <c r="T39" s="173" t="s">
        <v>1</v>
      </c>
      <c r="U39" s="184" t="s">
        <v>788</v>
      </c>
      <c r="V39" s="114" t="s">
        <v>264</v>
      </c>
      <c r="W39" s="115" t="s">
        <v>114</v>
      </c>
      <c r="X39" s="317"/>
      <c r="Y39" s="327"/>
      <c r="Z39" s="328"/>
      <c r="AA39" s="329"/>
      <c r="AB39" s="329"/>
      <c r="AC39" s="330"/>
      <c r="AE39" s="332"/>
      <c r="AF39" s="333"/>
      <c r="AG39" s="332"/>
      <c r="AH39" s="334"/>
      <c r="AI39" s="335"/>
      <c r="AJ39" s="332"/>
      <c r="AK39" s="333"/>
      <c r="AL39" s="332"/>
      <c r="AM39" s="336"/>
      <c r="AN39" s="329"/>
      <c r="AO39" s="329"/>
      <c r="AP39" s="327"/>
      <c r="AQ39" s="328"/>
      <c r="AR39" s="329"/>
      <c r="AS39" s="329"/>
      <c r="AT39" s="330"/>
      <c r="AU39" s="331"/>
      <c r="AV39" s="332"/>
      <c r="AW39" s="333"/>
      <c r="AX39" s="332"/>
      <c r="AY39" s="325">
        <f t="shared" si="15"/>
        <v>0</v>
      </c>
      <c r="AZ39" s="325">
        <f t="shared" si="16"/>
        <v>0</v>
      </c>
      <c r="BA39" s="325">
        <f t="shared" si="17"/>
        <v>0</v>
      </c>
      <c r="BB39" s="325">
        <f t="shared" si="18"/>
        <v>0</v>
      </c>
      <c r="BC39" s="325">
        <f t="shared" si="19"/>
        <v>0</v>
      </c>
      <c r="BD39" s="325">
        <f t="shared" si="20"/>
        <v>0</v>
      </c>
      <c r="BE39" s="329"/>
      <c r="BF39" s="327"/>
      <c r="BG39" s="328"/>
      <c r="BH39" s="329"/>
      <c r="BI39" s="329"/>
      <c r="BJ39" s="330"/>
      <c r="BK39" s="331"/>
      <c r="BL39" s="332"/>
      <c r="BM39" s="333"/>
      <c r="BN39" s="332"/>
      <c r="BO39" s="334"/>
      <c r="BP39" s="335"/>
      <c r="BQ39" s="332"/>
      <c r="BR39" s="333"/>
      <c r="BS39" s="332"/>
      <c r="BT39" s="336"/>
      <c r="BU39" s="329"/>
      <c r="BV39" s="327"/>
      <c r="BW39" s="328"/>
      <c r="BX39" s="329"/>
      <c r="BY39" s="329"/>
      <c r="BZ39" s="330"/>
      <c r="CA39" s="331"/>
      <c r="CB39" s="332"/>
      <c r="CC39" s="333"/>
      <c r="CD39" s="332"/>
      <c r="CE39" s="334"/>
      <c r="CF39" s="335"/>
      <c r="CG39" s="332"/>
      <c r="CH39" s="333"/>
      <c r="CI39" s="332"/>
      <c r="CJ39" s="336"/>
      <c r="CK39" s="329"/>
      <c r="CL39" s="327"/>
      <c r="CM39" s="328"/>
      <c r="CN39" s="329"/>
      <c r="CO39" s="329"/>
      <c r="CP39" s="330"/>
      <c r="CQ39" s="331"/>
      <c r="CR39" s="332"/>
      <c r="CS39" s="333"/>
      <c r="CT39" s="332"/>
      <c r="CU39" s="334"/>
      <c r="CV39" s="335"/>
      <c r="CW39" s="332"/>
      <c r="CX39" s="333"/>
      <c r="CY39" s="332"/>
      <c r="CZ39" s="336"/>
      <c r="DA39" s="329"/>
      <c r="DB39" s="327"/>
      <c r="DC39" s="328"/>
      <c r="DD39" s="329"/>
      <c r="DE39" s="329"/>
      <c r="DF39" s="330"/>
      <c r="DG39" s="331"/>
      <c r="DH39" s="332"/>
      <c r="DI39" s="333"/>
      <c r="DJ39" s="332"/>
      <c r="DK39" s="334"/>
      <c r="DL39" s="335"/>
      <c r="DM39" s="332"/>
      <c r="DN39" s="333"/>
      <c r="DO39" s="332"/>
      <c r="DP39" s="336"/>
      <c r="DQ39" s="329"/>
      <c r="DR39" s="327"/>
      <c r="DS39" s="328"/>
      <c r="DT39" s="329"/>
      <c r="DU39" s="329"/>
      <c r="DV39" s="330"/>
      <c r="DW39" s="331"/>
      <c r="DX39" s="332"/>
      <c r="DY39" s="333"/>
      <c r="DZ39" s="332"/>
      <c r="EA39" s="334"/>
      <c r="EB39" s="335"/>
      <c r="EC39" s="332"/>
      <c r="ED39" s="333"/>
      <c r="EE39" s="332"/>
      <c r="EF39" s="336"/>
      <c r="EG39" s="329"/>
      <c r="EH39" s="327"/>
      <c r="EI39" s="328"/>
      <c r="EJ39" s="329"/>
      <c r="EK39" s="329"/>
      <c r="EL39" s="330"/>
      <c r="EM39" s="331"/>
      <c r="EN39" s="332"/>
      <c r="EO39" s="333"/>
      <c r="EP39" s="332"/>
      <c r="EQ39" s="334"/>
      <c r="ER39" s="335"/>
      <c r="ES39" s="332"/>
      <c r="ET39" s="333"/>
      <c r="EU39" s="332"/>
      <c r="EV39" s="336"/>
      <c r="EW39" s="329"/>
      <c r="EX39" s="327"/>
      <c r="EY39" s="328"/>
      <c r="EZ39" s="329"/>
      <c r="FA39" s="329"/>
      <c r="FB39" s="330"/>
      <c r="FC39" s="331"/>
      <c r="FD39" s="332"/>
      <c r="FE39" s="333"/>
      <c r="FF39" s="332"/>
      <c r="FG39" s="334"/>
      <c r="FH39" s="335"/>
      <c r="FI39" s="332"/>
      <c r="FJ39" s="333"/>
      <c r="FK39" s="332"/>
      <c r="FL39" s="336"/>
      <c r="FM39" s="329"/>
      <c r="FN39" s="327"/>
      <c r="FO39" s="328"/>
      <c r="FP39" s="329"/>
      <c r="FQ39" s="329"/>
      <c r="FR39" s="330"/>
      <c r="FS39" s="331"/>
      <c r="FT39" s="332"/>
      <c r="FU39" s="333"/>
      <c r="FV39" s="332"/>
      <c r="FW39" s="334"/>
      <c r="FX39" s="335"/>
      <c r="FY39" s="332"/>
      <c r="FZ39" s="333"/>
      <c r="GA39" s="332"/>
      <c r="GB39" s="336"/>
      <c r="GC39" s="329"/>
      <c r="GD39" s="327"/>
      <c r="GE39" s="328"/>
      <c r="GF39" s="329"/>
      <c r="GG39" s="329"/>
      <c r="GH39" s="330"/>
      <c r="GI39" s="331"/>
      <c r="GJ39" s="332"/>
      <c r="GK39" s="333"/>
      <c r="GL39" s="332"/>
      <c r="GM39" s="334"/>
      <c r="GN39" s="335"/>
      <c r="GO39" s="332"/>
      <c r="GP39" s="333"/>
      <c r="GQ39" s="332"/>
      <c r="GR39" s="336"/>
      <c r="GS39" s="329"/>
      <c r="GT39" s="327"/>
      <c r="GU39" s="328"/>
      <c r="GV39" s="329"/>
      <c r="GW39" s="329"/>
      <c r="GX39" s="330"/>
      <c r="GY39" s="331"/>
      <c r="GZ39" s="332"/>
      <c r="HA39" s="333"/>
      <c r="HB39" s="332"/>
      <c r="HC39" s="334"/>
      <c r="HD39" s="335"/>
      <c r="HE39" s="332"/>
      <c r="HF39" s="333"/>
      <c r="HG39" s="332"/>
      <c r="HH39" s="336"/>
      <c r="HI39" s="329"/>
      <c r="HJ39" s="327"/>
      <c r="HK39" s="328"/>
      <c r="HL39" s="329"/>
      <c r="HM39" s="329"/>
      <c r="HN39" s="330"/>
      <c r="HO39" s="331"/>
      <c r="HP39" s="332"/>
      <c r="HQ39" s="333"/>
      <c r="HR39" s="332"/>
      <c r="HS39" s="334"/>
      <c r="HT39" s="335"/>
      <c r="HU39" s="332"/>
      <c r="HV39" s="333"/>
      <c r="HW39" s="332"/>
      <c r="HX39" s="336"/>
      <c r="HY39" s="329"/>
      <c r="HZ39" s="327"/>
      <c r="IA39" s="328"/>
      <c r="IB39" s="329"/>
      <c r="IC39" s="329"/>
      <c r="ID39" s="330"/>
      <c r="IE39" s="331"/>
      <c r="IF39" s="332"/>
      <c r="IG39" s="333"/>
      <c r="IH39" s="332"/>
      <c r="II39" s="334"/>
      <c r="IJ39" s="335"/>
      <c r="IK39" s="332"/>
      <c r="IL39" s="333"/>
      <c r="IM39" s="332"/>
      <c r="IN39" s="336"/>
      <c r="IO39" s="329"/>
      <c r="IP39" s="327"/>
      <c r="IQ39" s="328"/>
      <c r="IR39" s="329"/>
      <c r="IS39" s="329"/>
      <c r="IT39" s="330"/>
      <c r="IU39" s="331"/>
      <c r="IV39" s="332"/>
      <c r="IW39" s="333"/>
      <c r="IX39" s="332"/>
    </row>
    <row r="40" spans="1:258" s="325" customFormat="1" ht="25.5" x14ac:dyDescent="0.2">
      <c r="A40" s="113">
        <v>1</v>
      </c>
      <c r="B40" s="113" t="s">
        <v>251</v>
      </c>
      <c r="C40" s="345" t="s">
        <v>0</v>
      </c>
      <c r="D40" s="117" t="s">
        <v>167</v>
      </c>
      <c r="E40" s="154" t="s">
        <v>2</v>
      </c>
      <c r="F40" s="193"/>
      <c r="G40" s="225"/>
      <c r="H40" s="323">
        <f t="shared" ref="H40:H45" si="31">$A40-F40-G40</f>
        <v>1</v>
      </c>
      <c r="I40" s="193"/>
      <c r="J40" s="225"/>
      <c r="K40" s="323">
        <f t="shared" ref="K40:K45" si="32">$A40-I40-J40</f>
        <v>1</v>
      </c>
      <c r="L40" s="193"/>
      <c r="M40" s="225"/>
      <c r="N40" s="323">
        <f t="shared" ref="N40:N45" si="33">$A40-L40-M40</f>
        <v>1</v>
      </c>
      <c r="O40" s="193"/>
      <c r="P40" s="225"/>
      <c r="Q40" s="323">
        <f t="shared" ref="Q40:Q45" si="34">$A40-O40-P40</f>
        <v>1</v>
      </c>
      <c r="R40" s="193"/>
      <c r="S40" s="225"/>
      <c r="T40" s="323">
        <f t="shared" ref="T40:T45" si="35">$A40-R40-S40</f>
        <v>1</v>
      </c>
      <c r="U40" s="344"/>
      <c r="V40" s="415" t="s">
        <v>193</v>
      </c>
      <c r="W40" s="324">
        <f t="shared" ref="W40:W45" si="36">INDEX($S$1:$V$10, MATCH(V40,$S$1:$S$10,), MATCH("Initials",$S$1:$V$1,))</f>
        <v>0</v>
      </c>
      <c r="X40" s="317" t="str">
        <f t="shared" ref="X40:X45" si="37">IF(C40="Yes","Yes1","Zero1")</f>
        <v>Yes1</v>
      </c>
      <c r="AI40" s="325">
        <f t="shared" ref="AI40" si="38">IF(AND(F40&gt;0,C40="No"),"ERROR",0)</f>
        <v>0</v>
      </c>
      <c r="AJ40" s="325">
        <f t="shared" ref="AJ40" si="39">IF(AND(I40&gt;0,$C40="No"),"ERROR",0)</f>
        <v>0</v>
      </c>
      <c r="AK40" s="325">
        <f t="shared" ref="AK40" si="40">IF(AND(L40&gt;0,$C40="No"),"ERROR",0)</f>
        <v>0</v>
      </c>
      <c r="AL40" s="325">
        <f t="shared" ref="AL40" si="41">IF(AND(O40&gt;0,$C40="No"),"ERROR",0)</f>
        <v>0</v>
      </c>
      <c r="AM40" s="325">
        <f t="shared" ref="AM40" si="42">IF(AND(R40&gt;0,$C40="No"),"ERROR",0)</f>
        <v>0</v>
      </c>
      <c r="AO40" s="325">
        <f>IF(AND(AP40+AQ40+AR40+AS40+AT40&gt;0,E40="Required",C40="Yes"),1,0)</f>
        <v>0</v>
      </c>
      <c r="AP40" s="325">
        <f>IF(AND($D$7="Programming",F40="",E40="Required",C40="Yes"),1,0)</f>
        <v>0</v>
      </c>
      <c r="AQ40" s="325">
        <f>IF(AND($D$7="Schematic Design",I40="",E40="Required",C40="Yes"),1,0)</f>
        <v>0</v>
      </c>
      <c r="AR40" s="325">
        <f>IF(AND($D$7="Detailed Design",L40="",E40="Required",C40="Yes"),1,0)</f>
        <v>0</v>
      </c>
      <c r="AS40" s="325">
        <f>IF(AND($D$7="Construction Documentation",O40="",E40="Required",C40="Yes"),1,0)</f>
        <v>0</v>
      </c>
      <c r="AT40" s="325">
        <f>IF(AND($D$7="Closeout",R40="",E40="Required",C40="Yes"),1,0)</f>
        <v>0</v>
      </c>
      <c r="AY40" s="325">
        <f t="shared" si="15"/>
        <v>1</v>
      </c>
      <c r="AZ40" s="325">
        <f t="shared" si="16"/>
        <v>0</v>
      </c>
      <c r="BA40" s="325">
        <f t="shared" si="17"/>
        <v>0</v>
      </c>
      <c r="BB40" s="325">
        <f t="shared" si="18"/>
        <v>0</v>
      </c>
      <c r="BC40" s="325">
        <f t="shared" si="19"/>
        <v>0</v>
      </c>
      <c r="BD40" s="325">
        <f t="shared" si="20"/>
        <v>0</v>
      </c>
    </row>
    <row r="41" spans="1:258" s="325" customFormat="1" ht="15.75" x14ac:dyDescent="0.2">
      <c r="A41" s="113">
        <v>1</v>
      </c>
      <c r="B41" s="113" t="s">
        <v>252</v>
      </c>
      <c r="C41" s="345" t="s">
        <v>0</v>
      </c>
      <c r="D41" s="117" t="s">
        <v>168</v>
      </c>
      <c r="E41" s="154" t="s">
        <v>351</v>
      </c>
      <c r="F41" s="193"/>
      <c r="G41" s="225"/>
      <c r="H41" s="323">
        <f t="shared" si="31"/>
        <v>1</v>
      </c>
      <c r="I41" s="193"/>
      <c r="J41" s="225"/>
      <c r="K41" s="323">
        <f t="shared" si="32"/>
        <v>1</v>
      </c>
      <c r="L41" s="193"/>
      <c r="M41" s="225"/>
      <c r="N41" s="323">
        <f t="shared" si="33"/>
        <v>1</v>
      </c>
      <c r="O41" s="193"/>
      <c r="P41" s="225"/>
      <c r="Q41" s="323">
        <f t="shared" si="34"/>
        <v>1</v>
      </c>
      <c r="R41" s="193"/>
      <c r="S41" s="225"/>
      <c r="T41" s="323">
        <f t="shared" si="35"/>
        <v>1</v>
      </c>
      <c r="U41" s="344"/>
      <c r="V41" s="415" t="s">
        <v>196</v>
      </c>
      <c r="W41" s="324">
        <f t="shared" si="36"/>
        <v>0</v>
      </c>
      <c r="X41" s="317" t="str">
        <f t="shared" si="37"/>
        <v>Yes1</v>
      </c>
      <c r="AI41" s="325">
        <f t="shared" ref="AI41:AI45" si="43">IF(AND(F41&gt;0,C41="No"),"ERROR",0)</f>
        <v>0</v>
      </c>
      <c r="AJ41" s="325">
        <f t="shared" ref="AJ41:AJ45" si="44">IF(AND(I41&gt;0,$C41="No"),"ERROR",0)</f>
        <v>0</v>
      </c>
      <c r="AK41" s="325">
        <f t="shared" ref="AK41:AK45" si="45">IF(AND(L41&gt;0,$C41="No"),"ERROR",0)</f>
        <v>0</v>
      </c>
      <c r="AL41" s="325">
        <f t="shared" ref="AL41:AL45" si="46">IF(AND(O41&gt;0,$C41="No"),"ERROR",0)</f>
        <v>0</v>
      </c>
      <c r="AM41" s="325">
        <f t="shared" ref="AM41:AM45" si="47">IF(AND(R41&gt;0,$C41="No"),"ERROR",0)</f>
        <v>0</v>
      </c>
      <c r="AY41" s="325">
        <f t="shared" si="15"/>
        <v>0</v>
      </c>
      <c r="AZ41" s="325">
        <f t="shared" si="16"/>
        <v>0</v>
      </c>
      <c r="BA41" s="325">
        <f t="shared" si="17"/>
        <v>0</v>
      </c>
      <c r="BB41" s="325">
        <f t="shared" si="18"/>
        <v>0</v>
      </c>
      <c r="BC41" s="325">
        <f t="shared" si="19"/>
        <v>0</v>
      </c>
      <c r="BD41" s="325">
        <f t="shared" si="20"/>
        <v>0</v>
      </c>
    </row>
    <row r="42" spans="1:258" s="325" customFormat="1" ht="15.75" x14ac:dyDescent="0.2">
      <c r="A42" s="113">
        <v>1</v>
      </c>
      <c r="B42" s="113" t="s">
        <v>253</v>
      </c>
      <c r="C42" s="345" t="s">
        <v>0</v>
      </c>
      <c r="D42" s="117" t="s">
        <v>169</v>
      </c>
      <c r="E42" s="154" t="s">
        <v>352</v>
      </c>
      <c r="F42" s="193"/>
      <c r="G42" s="225"/>
      <c r="H42" s="323">
        <f t="shared" si="31"/>
        <v>1</v>
      </c>
      <c r="I42" s="193"/>
      <c r="J42" s="225"/>
      <c r="K42" s="323">
        <f t="shared" si="32"/>
        <v>1</v>
      </c>
      <c r="L42" s="193"/>
      <c r="M42" s="225"/>
      <c r="N42" s="323">
        <f t="shared" si="33"/>
        <v>1</v>
      </c>
      <c r="O42" s="193"/>
      <c r="P42" s="225"/>
      <c r="Q42" s="323">
        <f t="shared" si="34"/>
        <v>1</v>
      </c>
      <c r="R42" s="193"/>
      <c r="S42" s="225"/>
      <c r="T42" s="323">
        <f t="shared" si="35"/>
        <v>1</v>
      </c>
      <c r="U42" s="344"/>
      <c r="V42" s="415" t="s">
        <v>193</v>
      </c>
      <c r="W42" s="324">
        <f t="shared" si="36"/>
        <v>0</v>
      </c>
      <c r="X42" s="317" t="str">
        <f t="shared" si="37"/>
        <v>Yes1</v>
      </c>
      <c r="AI42" s="325">
        <f t="shared" si="43"/>
        <v>0</v>
      </c>
      <c r="AJ42" s="325">
        <f t="shared" si="44"/>
        <v>0</v>
      </c>
      <c r="AK42" s="325">
        <f t="shared" si="45"/>
        <v>0</v>
      </c>
      <c r="AL42" s="325">
        <f t="shared" si="46"/>
        <v>0</v>
      </c>
      <c r="AM42" s="325">
        <f t="shared" si="47"/>
        <v>0</v>
      </c>
      <c r="AY42" s="325">
        <f t="shared" si="15"/>
        <v>0</v>
      </c>
      <c r="AZ42" s="325">
        <f t="shared" si="16"/>
        <v>0</v>
      </c>
      <c r="BA42" s="325">
        <f t="shared" si="17"/>
        <v>0</v>
      </c>
      <c r="BB42" s="325">
        <f t="shared" si="18"/>
        <v>0</v>
      </c>
      <c r="BC42" s="325">
        <f t="shared" si="19"/>
        <v>0</v>
      </c>
      <c r="BD42" s="325">
        <f t="shared" si="20"/>
        <v>0</v>
      </c>
    </row>
    <row r="43" spans="1:258" s="325" customFormat="1" ht="15.75" x14ac:dyDescent="0.2">
      <c r="A43" s="113">
        <v>1</v>
      </c>
      <c r="B43" s="113" t="s">
        <v>254</v>
      </c>
      <c r="C43" s="345" t="s">
        <v>0</v>
      </c>
      <c r="D43" s="117" t="s">
        <v>170</v>
      </c>
      <c r="E43" s="154" t="s">
        <v>352</v>
      </c>
      <c r="F43" s="193"/>
      <c r="G43" s="225"/>
      <c r="H43" s="323">
        <f t="shared" si="31"/>
        <v>1</v>
      </c>
      <c r="I43" s="193"/>
      <c r="J43" s="225"/>
      <c r="K43" s="323">
        <f t="shared" si="32"/>
        <v>1</v>
      </c>
      <c r="L43" s="193"/>
      <c r="M43" s="225"/>
      <c r="N43" s="323">
        <f t="shared" si="33"/>
        <v>1</v>
      </c>
      <c r="O43" s="193"/>
      <c r="P43" s="225"/>
      <c r="Q43" s="323">
        <f t="shared" si="34"/>
        <v>1</v>
      </c>
      <c r="R43" s="193"/>
      <c r="S43" s="225"/>
      <c r="T43" s="323">
        <f t="shared" si="35"/>
        <v>1</v>
      </c>
      <c r="U43" s="344"/>
      <c r="V43" s="415" t="s">
        <v>193</v>
      </c>
      <c r="W43" s="324">
        <f t="shared" si="36"/>
        <v>0</v>
      </c>
      <c r="X43" s="317" t="str">
        <f t="shared" si="37"/>
        <v>Yes1</v>
      </c>
      <c r="AI43" s="325">
        <f t="shared" si="43"/>
        <v>0</v>
      </c>
      <c r="AJ43" s="325">
        <f t="shared" si="44"/>
        <v>0</v>
      </c>
      <c r="AK43" s="325">
        <f t="shared" si="45"/>
        <v>0</v>
      </c>
      <c r="AL43" s="325">
        <f t="shared" si="46"/>
        <v>0</v>
      </c>
      <c r="AM43" s="325">
        <f t="shared" si="47"/>
        <v>0</v>
      </c>
      <c r="AY43" s="325">
        <f t="shared" si="15"/>
        <v>0</v>
      </c>
      <c r="AZ43" s="325">
        <f t="shared" si="16"/>
        <v>0</v>
      </c>
      <c r="BA43" s="325">
        <f t="shared" si="17"/>
        <v>0</v>
      </c>
      <c r="BB43" s="325">
        <f t="shared" si="18"/>
        <v>0</v>
      </c>
      <c r="BC43" s="325">
        <f t="shared" si="19"/>
        <v>0</v>
      </c>
      <c r="BD43" s="325">
        <f t="shared" si="20"/>
        <v>0</v>
      </c>
    </row>
    <row r="44" spans="1:258" s="325" customFormat="1" ht="15.75" x14ac:dyDescent="0.2">
      <c r="A44" s="113">
        <v>2</v>
      </c>
      <c r="B44" s="113" t="s">
        <v>255</v>
      </c>
      <c r="C44" s="345" t="s">
        <v>0</v>
      </c>
      <c r="D44" s="117" t="s">
        <v>221</v>
      </c>
      <c r="E44" s="154" t="s">
        <v>2</v>
      </c>
      <c r="F44" s="193"/>
      <c r="G44" s="225"/>
      <c r="H44" s="323">
        <f t="shared" si="31"/>
        <v>2</v>
      </c>
      <c r="I44" s="193"/>
      <c r="J44" s="225"/>
      <c r="K44" s="323">
        <f t="shared" si="32"/>
        <v>2</v>
      </c>
      <c r="L44" s="193"/>
      <c r="M44" s="225"/>
      <c r="N44" s="323">
        <f t="shared" si="33"/>
        <v>2</v>
      </c>
      <c r="O44" s="193"/>
      <c r="P44" s="225"/>
      <c r="Q44" s="323">
        <f t="shared" si="34"/>
        <v>2</v>
      </c>
      <c r="R44" s="193"/>
      <c r="S44" s="225"/>
      <c r="T44" s="323">
        <f t="shared" si="35"/>
        <v>2</v>
      </c>
      <c r="U44" s="344"/>
      <c r="V44" s="415" t="s">
        <v>193</v>
      </c>
      <c r="W44" s="324">
        <f t="shared" si="36"/>
        <v>0</v>
      </c>
      <c r="X44" s="317" t="str">
        <f>IF(C44="Yes","Yes2","Zero2")</f>
        <v>Yes2</v>
      </c>
      <c r="AI44" s="325">
        <f t="shared" si="43"/>
        <v>0</v>
      </c>
      <c r="AJ44" s="325">
        <f t="shared" si="44"/>
        <v>0</v>
      </c>
      <c r="AK44" s="325">
        <f t="shared" si="45"/>
        <v>0</v>
      </c>
      <c r="AL44" s="325">
        <f t="shared" si="46"/>
        <v>0</v>
      </c>
      <c r="AM44" s="325">
        <f t="shared" si="47"/>
        <v>0</v>
      </c>
      <c r="AO44" s="325">
        <f>IF(AND(AP44+AQ44+AR44+AS44+AT44&gt;0,E44="Required",C44="Yes"),1,0)</f>
        <v>0</v>
      </c>
      <c r="AP44" s="325">
        <f>IF(AND($D$7="Programming",F44="",E44="Required",C44="Yes"),1,0)</f>
        <v>0</v>
      </c>
      <c r="AQ44" s="325">
        <f>IF(AND($D$7="Schematic Design",I44="",E44="Required",C44="Yes"),1,0)</f>
        <v>0</v>
      </c>
      <c r="AR44" s="325">
        <f>IF(AND($D$7="Detailed Design",L44="",E44="Required",C44="Yes"),1,0)</f>
        <v>0</v>
      </c>
      <c r="AS44" s="325">
        <f>IF(AND($D$7="Construction Documentation",O44="",E44="Required",C44="Yes"),1,0)</f>
        <v>0</v>
      </c>
      <c r="AT44" s="325">
        <f>IF(AND($D$7="Closeout",R44="",E44="Required",C44="Yes"),1,0)</f>
        <v>0</v>
      </c>
      <c r="AY44" s="325">
        <f t="shared" si="15"/>
        <v>2</v>
      </c>
      <c r="AZ44" s="325">
        <f t="shared" si="16"/>
        <v>0</v>
      </c>
      <c r="BA44" s="325">
        <f t="shared" si="17"/>
        <v>0</v>
      </c>
      <c r="BB44" s="325">
        <f t="shared" si="18"/>
        <v>0</v>
      </c>
      <c r="BC44" s="325">
        <f t="shared" si="19"/>
        <v>0</v>
      </c>
      <c r="BD44" s="325">
        <f t="shared" si="20"/>
        <v>0</v>
      </c>
    </row>
    <row r="45" spans="1:258" s="325" customFormat="1" ht="15.75" x14ac:dyDescent="0.2">
      <c r="A45" s="113">
        <v>1</v>
      </c>
      <c r="B45" s="113" t="s">
        <v>256</v>
      </c>
      <c r="C45" s="345" t="s">
        <v>0</v>
      </c>
      <c r="D45" s="117" t="s">
        <v>171</v>
      </c>
      <c r="E45" s="154" t="s">
        <v>352</v>
      </c>
      <c r="F45" s="193"/>
      <c r="G45" s="225"/>
      <c r="H45" s="323">
        <f t="shared" si="31"/>
        <v>1</v>
      </c>
      <c r="I45" s="193"/>
      <c r="J45" s="225"/>
      <c r="K45" s="323">
        <f t="shared" si="32"/>
        <v>1</v>
      </c>
      <c r="L45" s="193"/>
      <c r="M45" s="225"/>
      <c r="N45" s="323">
        <f t="shared" si="33"/>
        <v>1</v>
      </c>
      <c r="O45" s="193"/>
      <c r="P45" s="225"/>
      <c r="Q45" s="323">
        <f t="shared" si="34"/>
        <v>1</v>
      </c>
      <c r="R45" s="193"/>
      <c r="S45" s="225"/>
      <c r="T45" s="323">
        <f t="shared" si="35"/>
        <v>1</v>
      </c>
      <c r="U45" s="344"/>
      <c r="V45" s="415" t="s">
        <v>193</v>
      </c>
      <c r="W45" s="324">
        <f t="shared" si="36"/>
        <v>0</v>
      </c>
      <c r="X45" s="317" t="str">
        <f t="shared" si="37"/>
        <v>Yes1</v>
      </c>
      <c r="AI45" s="325">
        <f t="shared" si="43"/>
        <v>0</v>
      </c>
      <c r="AJ45" s="325">
        <f t="shared" si="44"/>
        <v>0</v>
      </c>
      <c r="AK45" s="325">
        <f t="shared" si="45"/>
        <v>0</v>
      </c>
      <c r="AL45" s="325">
        <f t="shared" si="46"/>
        <v>0</v>
      </c>
      <c r="AM45" s="325">
        <f t="shared" si="47"/>
        <v>0</v>
      </c>
      <c r="AY45" s="325">
        <f t="shared" si="15"/>
        <v>0</v>
      </c>
      <c r="AZ45" s="325">
        <f t="shared" si="16"/>
        <v>0</v>
      </c>
      <c r="BA45" s="325">
        <f t="shared" si="17"/>
        <v>0</v>
      </c>
      <c r="BB45" s="325">
        <f t="shared" si="18"/>
        <v>0</v>
      </c>
      <c r="BC45" s="325">
        <f t="shared" si="19"/>
        <v>0</v>
      </c>
      <c r="BD45" s="325">
        <f t="shared" si="20"/>
        <v>0</v>
      </c>
    </row>
    <row r="46" spans="1:258" ht="39.950000000000003" customHeight="1" x14ac:dyDescent="0.2">
      <c r="A46" s="122" t="s">
        <v>388</v>
      </c>
      <c r="B46" s="123"/>
      <c r="C46" s="122"/>
      <c r="D46" s="124" t="s">
        <v>318</v>
      </c>
      <c r="E46" s="156" t="s">
        <v>319</v>
      </c>
      <c r="F46" s="178">
        <f t="shared" ref="F46:S46" si="48">SUM(F48:F64)</f>
        <v>0</v>
      </c>
      <c r="G46" s="223">
        <f t="shared" si="48"/>
        <v>0</v>
      </c>
      <c r="H46" s="172">
        <f t="shared" si="48"/>
        <v>37</v>
      </c>
      <c r="I46" s="178">
        <f t="shared" si="48"/>
        <v>0</v>
      </c>
      <c r="J46" s="223">
        <f t="shared" si="48"/>
        <v>0</v>
      </c>
      <c r="K46" s="172">
        <f t="shared" ref="K46" si="49">SUM(K48:K64)</f>
        <v>37</v>
      </c>
      <c r="L46" s="178">
        <f>SUM(L48:L64)</f>
        <v>0</v>
      </c>
      <c r="M46" s="223">
        <f>SUM(M48:M64)</f>
        <v>0</v>
      </c>
      <c r="N46" s="172">
        <f t="shared" ref="N46" si="50">SUM(N48:N64)</f>
        <v>37</v>
      </c>
      <c r="O46" s="178">
        <f t="shared" si="48"/>
        <v>0</v>
      </c>
      <c r="P46" s="223">
        <f t="shared" si="48"/>
        <v>0</v>
      </c>
      <c r="Q46" s="172">
        <f t="shared" ref="Q46" si="51">SUM(Q48:Q64)</f>
        <v>37</v>
      </c>
      <c r="R46" s="178">
        <f t="shared" si="48"/>
        <v>0</v>
      </c>
      <c r="S46" s="223">
        <f t="shared" si="48"/>
        <v>0</v>
      </c>
      <c r="T46" s="172">
        <f t="shared" ref="T46" si="52">SUM(T48:T64)</f>
        <v>37</v>
      </c>
      <c r="U46" s="186"/>
      <c r="V46" s="759" t="s">
        <v>201</v>
      </c>
      <c r="W46" s="760"/>
      <c r="X46" s="125"/>
      <c r="AY46" s="325">
        <f t="shared" si="15"/>
        <v>0</v>
      </c>
      <c r="AZ46" s="325">
        <f t="shared" si="16"/>
        <v>0</v>
      </c>
      <c r="BA46" s="325">
        <f t="shared" si="17"/>
        <v>0</v>
      </c>
      <c r="BB46" s="325">
        <f t="shared" si="18"/>
        <v>0</v>
      </c>
      <c r="BC46" s="325">
        <f t="shared" si="19"/>
        <v>0</v>
      </c>
      <c r="BD46" s="325">
        <f t="shared" si="20"/>
        <v>0</v>
      </c>
    </row>
    <row r="47" spans="1:258" ht="66.75" x14ac:dyDescent="0.2">
      <c r="A47" s="111" t="s">
        <v>350</v>
      </c>
      <c r="B47" s="111" t="s">
        <v>139</v>
      </c>
      <c r="C47" s="111" t="s">
        <v>326</v>
      </c>
      <c r="D47" s="112" t="s">
        <v>3</v>
      </c>
      <c r="E47" s="153" t="s">
        <v>300</v>
      </c>
      <c r="F47" s="179" t="s">
        <v>0</v>
      </c>
      <c r="G47" s="224" t="s">
        <v>12</v>
      </c>
      <c r="H47" s="173" t="s">
        <v>1</v>
      </c>
      <c r="I47" s="179" t="s">
        <v>0</v>
      </c>
      <c r="J47" s="224" t="s">
        <v>12</v>
      </c>
      <c r="K47" s="173" t="s">
        <v>1</v>
      </c>
      <c r="L47" s="179" t="s">
        <v>0</v>
      </c>
      <c r="M47" s="224" t="s">
        <v>12</v>
      </c>
      <c r="N47" s="173" t="s">
        <v>1</v>
      </c>
      <c r="O47" s="179" t="s">
        <v>0</v>
      </c>
      <c r="P47" s="224" t="s">
        <v>12</v>
      </c>
      <c r="Q47" s="173" t="s">
        <v>1</v>
      </c>
      <c r="R47" s="179" t="s">
        <v>0</v>
      </c>
      <c r="S47" s="224" t="s">
        <v>12</v>
      </c>
      <c r="T47" s="173" t="s">
        <v>1</v>
      </c>
      <c r="U47" s="184" t="s">
        <v>788</v>
      </c>
      <c r="V47" s="114" t="s">
        <v>264</v>
      </c>
      <c r="W47" s="115" t="s">
        <v>114</v>
      </c>
      <c r="X47" s="126"/>
      <c r="Y47" s="327"/>
      <c r="Z47" s="328"/>
      <c r="AA47" s="329"/>
      <c r="AB47" s="329"/>
      <c r="AC47" s="330"/>
      <c r="AE47" s="332"/>
      <c r="AF47" s="333"/>
      <c r="AG47" s="332"/>
      <c r="AH47" s="334"/>
      <c r="AI47" s="335"/>
      <c r="AJ47" s="332"/>
      <c r="AK47" s="333"/>
      <c r="AL47" s="332"/>
      <c r="AM47" s="336"/>
      <c r="AN47" s="329"/>
      <c r="AO47" s="329"/>
      <c r="AP47" s="327"/>
      <c r="AQ47" s="328"/>
      <c r="AR47" s="329"/>
      <c r="AS47" s="329"/>
      <c r="AT47" s="330"/>
      <c r="AU47" s="331"/>
      <c r="AV47" s="332"/>
      <c r="AW47" s="333"/>
      <c r="AX47" s="332"/>
      <c r="AY47" s="325">
        <f t="shared" si="15"/>
        <v>0</v>
      </c>
      <c r="AZ47" s="325">
        <f t="shared" si="16"/>
        <v>0</v>
      </c>
      <c r="BA47" s="325">
        <f t="shared" si="17"/>
        <v>0</v>
      </c>
      <c r="BB47" s="325">
        <f t="shared" si="18"/>
        <v>0</v>
      </c>
      <c r="BC47" s="325">
        <f t="shared" si="19"/>
        <v>0</v>
      </c>
      <c r="BD47" s="325">
        <f t="shared" si="20"/>
        <v>0</v>
      </c>
      <c r="BE47" s="329"/>
      <c r="BF47" s="327"/>
      <c r="BG47" s="328"/>
      <c r="BH47" s="329"/>
      <c r="BI47" s="329"/>
      <c r="BJ47" s="330"/>
      <c r="BK47" s="331"/>
      <c r="BL47" s="332"/>
      <c r="BM47" s="333"/>
      <c r="BN47" s="332"/>
      <c r="BO47" s="334"/>
      <c r="BP47" s="335"/>
      <c r="BQ47" s="332"/>
      <c r="BR47" s="333"/>
      <c r="BS47" s="332"/>
      <c r="BT47" s="336"/>
      <c r="BU47" s="329"/>
      <c r="BV47" s="327"/>
      <c r="BW47" s="328"/>
      <c r="BX47" s="329"/>
      <c r="BY47" s="329"/>
      <c r="BZ47" s="330"/>
      <c r="CA47" s="331"/>
      <c r="CB47" s="332"/>
      <c r="CC47" s="333"/>
      <c r="CD47" s="332"/>
      <c r="CE47" s="334"/>
      <c r="CF47" s="335"/>
      <c r="CG47" s="332"/>
      <c r="CH47" s="333"/>
      <c r="CI47" s="332"/>
      <c r="CJ47" s="336"/>
      <c r="CK47" s="329"/>
      <c r="CL47" s="327"/>
      <c r="CM47" s="328"/>
      <c r="CN47" s="329"/>
      <c r="CO47" s="329"/>
      <c r="CP47" s="330"/>
      <c r="CQ47" s="331"/>
      <c r="CR47" s="332"/>
      <c r="CS47" s="333"/>
      <c r="CT47" s="332"/>
      <c r="CU47" s="334"/>
      <c r="CV47" s="335"/>
      <c r="CW47" s="332"/>
      <c r="CX47" s="333"/>
      <c r="CY47" s="332"/>
      <c r="CZ47" s="336"/>
      <c r="DA47" s="329"/>
      <c r="DB47" s="327"/>
      <c r="DC47" s="328"/>
      <c r="DD47" s="329"/>
      <c r="DE47" s="329"/>
      <c r="DF47" s="330"/>
      <c r="DG47" s="331"/>
      <c r="DH47" s="332"/>
      <c r="DI47" s="333"/>
      <c r="DJ47" s="332"/>
      <c r="DK47" s="334"/>
      <c r="DL47" s="335"/>
      <c r="DM47" s="332"/>
      <c r="DN47" s="333"/>
      <c r="DO47" s="332"/>
      <c r="DP47" s="336"/>
      <c r="DQ47" s="329"/>
      <c r="DR47" s="327"/>
      <c r="DS47" s="328"/>
      <c r="DT47" s="329"/>
      <c r="DU47" s="329"/>
      <c r="DV47" s="330"/>
      <c r="DW47" s="331"/>
      <c r="DX47" s="332"/>
      <c r="DY47" s="333"/>
      <c r="DZ47" s="332"/>
      <c r="EA47" s="334"/>
      <c r="EB47" s="335"/>
      <c r="EC47" s="332"/>
      <c r="ED47" s="333"/>
      <c r="EE47" s="332"/>
      <c r="EF47" s="336"/>
      <c r="EG47" s="329"/>
      <c r="EH47" s="327"/>
      <c r="EI47" s="328"/>
      <c r="EJ47" s="329"/>
      <c r="EK47" s="329"/>
      <c r="EL47" s="330"/>
      <c r="EM47" s="331"/>
      <c r="EN47" s="332"/>
      <c r="EO47" s="333"/>
      <c r="EP47" s="332"/>
      <c r="EQ47" s="334"/>
      <c r="ER47" s="335"/>
      <c r="ES47" s="332"/>
      <c r="ET47" s="333"/>
      <c r="EU47" s="332"/>
      <c r="EV47" s="336"/>
      <c r="EW47" s="329"/>
      <c r="EX47" s="327"/>
      <c r="EY47" s="328"/>
      <c r="EZ47" s="329"/>
      <c r="FA47" s="329"/>
      <c r="FB47" s="330"/>
      <c r="FC47" s="331"/>
      <c r="FD47" s="332"/>
      <c r="FE47" s="333"/>
      <c r="FF47" s="332"/>
      <c r="FG47" s="334"/>
      <c r="FH47" s="335"/>
      <c r="FI47" s="332"/>
      <c r="FJ47" s="333"/>
      <c r="FK47" s="332"/>
      <c r="FL47" s="336"/>
      <c r="FM47" s="329"/>
      <c r="FN47" s="327"/>
      <c r="FO47" s="328"/>
      <c r="FP47" s="329"/>
      <c r="FQ47" s="329"/>
      <c r="FR47" s="330"/>
      <c r="FS47" s="331"/>
      <c r="FT47" s="332"/>
      <c r="FU47" s="333"/>
      <c r="FV47" s="332"/>
      <c r="FW47" s="334"/>
      <c r="FX47" s="335"/>
      <c r="FY47" s="332"/>
      <c r="FZ47" s="333"/>
      <c r="GA47" s="332"/>
      <c r="GB47" s="336"/>
      <c r="GC47" s="329"/>
      <c r="GD47" s="327"/>
      <c r="GE47" s="328"/>
      <c r="GF47" s="329"/>
      <c r="GG47" s="329"/>
      <c r="GH47" s="330"/>
      <c r="GI47" s="331"/>
      <c r="GJ47" s="332"/>
      <c r="GK47" s="333"/>
      <c r="GL47" s="332"/>
      <c r="GM47" s="334"/>
      <c r="GN47" s="335"/>
      <c r="GO47" s="332"/>
      <c r="GP47" s="333"/>
      <c r="GQ47" s="332"/>
      <c r="GR47" s="336"/>
      <c r="GS47" s="329"/>
      <c r="GT47" s="327"/>
      <c r="GU47" s="328"/>
      <c r="GV47" s="329"/>
      <c r="GW47" s="329"/>
      <c r="GX47" s="330"/>
      <c r="GY47" s="331"/>
      <c r="GZ47" s="332"/>
      <c r="HA47" s="333"/>
      <c r="HB47" s="332"/>
      <c r="HC47" s="334"/>
      <c r="HD47" s="335"/>
      <c r="HE47" s="332"/>
      <c r="HF47" s="333"/>
      <c r="HG47" s="332"/>
      <c r="HH47" s="336"/>
      <c r="HI47" s="329"/>
      <c r="HJ47" s="327"/>
      <c r="HK47" s="328"/>
      <c r="HL47" s="329"/>
      <c r="HM47" s="329"/>
      <c r="HN47" s="330"/>
      <c r="HO47" s="331"/>
      <c r="HP47" s="332"/>
      <c r="HQ47" s="333"/>
      <c r="HR47" s="332"/>
      <c r="HS47" s="334"/>
      <c r="HT47" s="335"/>
      <c r="HU47" s="332"/>
      <c r="HV47" s="333"/>
      <c r="HW47" s="332"/>
      <c r="HX47" s="336"/>
      <c r="HY47" s="329"/>
      <c r="HZ47" s="327"/>
      <c r="IA47" s="328"/>
      <c r="IB47" s="329"/>
      <c r="IC47" s="329"/>
      <c r="ID47" s="330"/>
      <c r="IE47" s="331"/>
      <c r="IF47" s="332"/>
      <c r="IG47" s="333"/>
      <c r="IH47" s="332"/>
      <c r="II47" s="334"/>
      <c r="IJ47" s="335"/>
      <c r="IK47" s="332"/>
      <c r="IL47" s="333"/>
      <c r="IM47" s="332"/>
      <c r="IN47" s="336"/>
      <c r="IO47" s="329"/>
      <c r="IP47" s="327"/>
      <c r="IQ47" s="328"/>
      <c r="IR47" s="329"/>
      <c r="IS47" s="329"/>
      <c r="IT47" s="330"/>
      <c r="IU47" s="331"/>
      <c r="IV47" s="332"/>
      <c r="IW47" s="333"/>
      <c r="IX47" s="332"/>
    </row>
    <row r="48" spans="1:258" s="325" customFormat="1" ht="15.75" x14ac:dyDescent="0.2">
      <c r="A48" s="113">
        <f>IF(D8="Category A",0,1)</f>
        <v>1</v>
      </c>
      <c r="B48" s="113" t="s">
        <v>302</v>
      </c>
      <c r="C48" s="345" t="s">
        <v>0</v>
      </c>
      <c r="D48" s="118" t="s">
        <v>354</v>
      </c>
      <c r="E48" s="154" t="str">
        <f>IF(E49="Required", "Not Required", "Required")</f>
        <v>Required</v>
      </c>
      <c r="F48" s="193"/>
      <c r="G48" s="225"/>
      <c r="H48" s="323">
        <f t="shared" ref="H48:H64" si="53">$A48-F48-G48</f>
        <v>1</v>
      </c>
      <c r="I48" s="193"/>
      <c r="J48" s="225"/>
      <c r="K48" s="323">
        <f t="shared" ref="K48:K64" si="54">$A48-I48-J48</f>
        <v>1</v>
      </c>
      <c r="L48" s="193"/>
      <c r="M48" s="225"/>
      <c r="N48" s="323">
        <f t="shared" ref="N48:N64" si="55">$A48-L48-M48</f>
        <v>1</v>
      </c>
      <c r="O48" s="193"/>
      <c r="P48" s="225"/>
      <c r="Q48" s="323">
        <f t="shared" ref="Q48:Q64" si="56">$A48-O48-P48</f>
        <v>1</v>
      </c>
      <c r="R48" s="193"/>
      <c r="S48" s="225"/>
      <c r="T48" s="323">
        <f t="shared" ref="T48:T64" si="57">$A48-R48-S48</f>
        <v>1</v>
      </c>
      <c r="U48" s="343"/>
      <c r="V48" s="415" t="s">
        <v>702</v>
      </c>
      <c r="W48" s="324">
        <f t="shared" ref="W48:W64" si="58">INDEX($S$1:$V$10, MATCH(V48,$S$1:$S$10,), MATCH("Initials",$S$1:$V$1,))</f>
        <v>0</v>
      </c>
      <c r="X48" s="317" t="str">
        <f t="shared" ref="X48:X53" si="59">IF(C48="Yes","Yes1","Zero1")</f>
        <v>Yes1</v>
      </c>
      <c r="Y48" s="325" t="str">
        <f>IF(E49="Required","NotAllowed","Allowed")</f>
        <v>Allowed</v>
      </c>
      <c r="AI48" s="325">
        <f t="shared" ref="AI48" si="60">IF(AND(F48&gt;0,C48="No"),"ERROR",0)</f>
        <v>0</v>
      </c>
      <c r="AJ48" s="325">
        <f t="shared" ref="AJ48" si="61">IF(AND(I48&gt;0,$C48="No"),"ERROR",0)</f>
        <v>0</v>
      </c>
      <c r="AK48" s="325">
        <f t="shared" ref="AK48" si="62">IF(AND(L48&gt;0,$C48="No"),"ERROR",0)</f>
        <v>0</v>
      </c>
      <c r="AL48" s="325">
        <f t="shared" ref="AL48" si="63">IF(AND(O48&gt;0,$C48="No"),"ERROR",0)</f>
        <v>0</v>
      </c>
      <c r="AM48" s="325">
        <f t="shared" ref="AM48" si="64">IF(AND(R48&gt;0,$C48="No"),"ERROR",0)</f>
        <v>0</v>
      </c>
      <c r="AO48" s="325">
        <f>IF(AND(AP48+AQ48+AR48+AS48+AT48&gt;0,E48="Required",C48="Yes"),1,0)</f>
        <v>0</v>
      </c>
      <c r="AP48" s="325">
        <f>IF(AND($D$7="Programming",F48="",E48="Required",C48="Yes"),1,0)</f>
        <v>0</v>
      </c>
      <c r="AQ48" s="325">
        <f>IF(AND($D$7="Schematic Design",I48="",E48="Required",C48="Yes"),1,0)</f>
        <v>0</v>
      </c>
      <c r="AR48" s="325">
        <f>IF(AND($D$7="Detailed Design",L48="",E48="Required",C48="Yes"),1,0)</f>
        <v>0</v>
      </c>
      <c r="AS48" s="325">
        <f>IF(AND($D$7="Construction Documentation",O48="",E48="Required",C48="Yes"),1,0)</f>
        <v>0</v>
      </c>
      <c r="AT48" s="325">
        <f>IF(AND($D$7="Closeout",R48="",E48="Required",C48="Yes"),1,0)</f>
        <v>0</v>
      </c>
      <c r="AY48" s="325">
        <f t="shared" si="15"/>
        <v>1</v>
      </c>
      <c r="AZ48" s="325">
        <f t="shared" si="16"/>
        <v>0</v>
      </c>
      <c r="BA48" s="325">
        <f t="shared" si="17"/>
        <v>0</v>
      </c>
      <c r="BB48" s="325">
        <f t="shared" si="18"/>
        <v>0</v>
      </c>
      <c r="BC48" s="325">
        <f t="shared" si="19"/>
        <v>0</v>
      </c>
      <c r="BD48" s="325">
        <f t="shared" si="20"/>
        <v>0</v>
      </c>
    </row>
    <row r="49" spans="1:56" s="325" customFormat="1" ht="15.75" x14ac:dyDescent="0.2">
      <c r="A49" s="113">
        <f>IF(OR(D8="Category B",D8="Category C"),2,3)</f>
        <v>3</v>
      </c>
      <c r="B49" s="113" t="s">
        <v>303</v>
      </c>
      <c r="C49" s="345" t="s">
        <v>0</v>
      </c>
      <c r="D49" s="221" t="s">
        <v>355</v>
      </c>
      <c r="E49" s="154" t="str">
        <f>IF($D$8="Category A","Required","Priority 1")</f>
        <v>Priority 1</v>
      </c>
      <c r="F49" s="193"/>
      <c r="G49" s="225"/>
      <c r="H49" s="323">
        <f t="shared" si="53"/>
        <v>3</v>
      </c>
      <c r="I49" s="193"/>
      <c r="J49" s="225"/>
      <c r="K49" s="323">
        <f t="shared" si="54"/>
        <v>3</v>
      </c>
      <c r="L49" s="193"/>
      <c r="M49" s="225"/>
      <c r="N49" s="323">
        <f t="shared" si="55"/>
        <v>3</v>
      </c>
      <c r="O49" s="193"/>
      <c r="P49" s="225"/>
      <c r="Q49" s="323">
        <f t="shared" si="56"/>
        <v>3</v>
      </c>
      <c r="R49" s="193"/>
      <c r="S49" s="225"/>
      <c r="T49" s="323">
        <f t="shared" si="57"/>
        <v>3</v>
      </c>
      <c r="U49" s="344"/>
      <c r="V49" s="415" t="s">
        <v>702</v>
      </c>
      <c r="W49" s="324">
        <f t="shared" si="58"/>
        <v>0</v>
      </c>
      <c r="X49" s="317" t="str">
        <f>IF(C49="Yes",Y49,Z49)</f>
        <v>Yes3Only</v>
      </c>
      <c r="Y49" s="325" t="str">
        <f>IF(OR(D8="Category B",D8="Category C"),"Yes2Only","Yes3Only")</f>
        <v>Yes3Only</v>
      </c>
      <c r="Z49" s="325" t="str">
        <f>IF(D8="Category A","Zero3","Zero2")</f>
        <v>Zero2</v>
      </c>
      <c r="AI49" s="325">
        <f t="shared" ref="AI49:AI64" si="65">IF(AND(F49&gt;0,C49="No"),"ERROR",0)</f>
        <v>0</v>
      </c>
      <c r="AJ49" s="325">
        <f t="shared" ref="AJ49:AJ64" si="66">IF(AND(I49&gt;0,$C49="No"),"ERROR",0)</f>
        <v>0</v>
      </c>
      <c r="AK49" s="325">
        <f t="shared" ref="AK49:AK64" si="67">IF(AND(L49&gt;0,$C49="No"),"ERROR",0)</f>
        <v>0</v>
      </c>
      <c r="AL49" s="325">
        <f t="shared" ref="AL49:AL64" si="68">IF(AND(O49&gt;0,$C49="No"),"ERROR",0)</f>
        <v>0</v>
      </c>
      <c r="AM49" s="325">
        <f t="shared" ref="AM49:AM64" si="69">IF(AND(R49&gt;0,$C49="No"),"ERROR",0)</f>
        <v>0</v>
      </c>
      <c r="AO49" s="325">
        <f>IF(AND(AP49+AQ49+AR49+AS49+AT49&gt;0,E49="Required",C49="Yes"),1,0)</f>
        <v>0</v>
      </c>
      <c r="AP49" s="325">
        <f>IF(AND($D$7="Programming",F49="",E49="Required",C49="Yes"),1,0)</f>
        <v>0</v>
      </c>
      <c r="AQ49" s="325">
        <f>IF(AND($D$7="Schematic Design",I49="",E49="Required",C49="Yes"),1,0)</f>
        <v>0</v>
      </c>
      <c r="AR49" s="325">
        <f>IF(AND($D$7="Detailed Design",L49="",E49="Required",C49="Yes"),1,0)</f>
        <v>0</v>
      </c>
      <c r="AS49" s="325">
        <f>IF(AND($D$7="Construction Documentation",O49="",E49="Required",C49="Yes"),1,0)</f>
        <v>0</v>
      </c>
      <c r="AT49" s="325">
        <f>IF(AND($D$7="Closeout",R49="",E49="Required",C49="Yes"),1,0)</f>
        <v>0</v>
      </c>
      <c r="AY49" s="325">
        <f t="shared" si="15"/>
        <v>0</v>
      </c>
      <c r="AZ49" s="325">
        <f t="shared" si="16"/>
        <v>0</v>
      </c>
      <c r="BA49" s="325">
        <f t="shared" si="17"/>
        <v>0</v>
      </c>
      <c r="BB49" s="325">
        <f t="shared" si="18"/>
        <v>0</v>
      </c>
      <c r="BC49" s="325">
        <f t="shared" si="19"/>
        <v>0</v>
      </c>
      <c r="BD49" s="325">
        <f t="shared" si="20"/>
        <v>0</v>
      </c>
    </row>
    <row r="50" spans="1:56" s="325" customFormat="1" ht="25.5" x14ac:dyDescent="0.2">
      <c r="A50" s="113">
        <v>1</v>
      </c>
      <c r="B50" s="113" t="s">
        <v>304</v>
      </c>
      <c r="C50" s="345" t="s">
        <v>0</v>
      </c>
      <c r="D50" s="117" t="s">
        <v>301</v>
      </c>
      <c r="E50" s="154" t="s">
        <v>2</v>
      </c>
      <c r="F50" s="193"/>
      <c r="G50" s="225"/>
      <c r="H50" s="323">
        <f t="shared" si="53"/>
        <v>1</v>
      </c>
      <c r="I50" s="193"/>
      <c r="J50" s="225"/>
      <c r="K50" s="323">
        <f t="shared" si="54"/>
        <v>1</v>
      </c>
      <c r="L50" s="193"/>
      <c r="M50" s="225"/>
      <c r="N50" s="323">
        <f t="shared" si="55"/>
        <v>1</v>
      </c>
      <c r="O50" s="193"/>
      <c r="P50" s="225"/>
      <c r="Q50" s="323">
        <f>$A50-O50-P50</f>
        <v>1</v>
      </c>
      <c r="R50" s="193"/>
      <c r="S50" s="225"/>
      <c r="T50" s="323">
        <f t="shared" si="57"/>
        <v>1</v>
      </c>
      <c r="U50" s="344"/>
      <c r="V50" s="415" t="s">
        <v>7</v>
      </c>
      <c r="W50" s="324">
        <f t="shared" si="58"/>
        <v>0</v>
      </c>
      <c r="X50" s="317" t="str">
        <f t="shared" si="59"/>
        <v>Yes1</v>
      </c>
      <c r="AI50" s="325">
        <f t="shared" si="65"/>
        <v>0</v>
      </c>
      <c r="AJ50" s="325">
        <f t="shared" si="66"/>
        <v>0</v>
      </c>
      <c r="AK50" s="325">
        <f t="shared" si="67"/>
        <v>0</v>
      </c>
      <c r="AL50" s="325">
        <f t="shared" si="68"/>
        <v>0</v>
      </c>
      <c r="AM50" s="325">
        <f t="shared" si="69"/>
        <v>0</v>
      </c>
      <c r="AO50" s="325">
        <f>IF(AND(AP50+AQ50+AR50+AS50+AT50&gt;0,E50="Required",C50="Yes"),1,0)</f>
        <v>0</v>
      </c>
      <c r="AP50" s="325">
        <f>IF(AND($D$7="Programming",F50="",E50="Required",C50="Yes"),1,0)</f>
        <v>0</v>
      </c>
      <c r="AQ50" s="325">
        <f>IF(AND($D$7="Schematic Design",I50="",E50="Required",C50="Yes"),1,0)</f>
        <v>0</v>
      </c>
      <c r="AR50" s="325">
        <f>IF(AND($D$7="Detailed Design",L50="",E50="Required",C50="Yes"),1,0)</f>
        <v>0</v>
      </c>
      <c r="AS50" s="325">
        <f>IF(AND($D$7="Construction Documentation",O50="",E50="Required",C50="Yes"),1,0)</f>
        <v>0</v>
      </c>
      <c r="AT50" s="325">
        <f>IF(AND($D$7="Closeout",R50="",E50="Required",C50="Yes"),1,0)</f>
        <v>0</v>
      </c>
      <c r="AY50" s="325">
        <f t="shared" si="15"/>
        <v>1</v>
      </c>
      <c r="AZ50" s="325">
        <f t="shared" si="16"/>
        <v>0</v>
      </c>
      <c r="BA50" s="325">
        <f t="shared" si="17"/>
        <v>0</v>
      </c>
      <c r="BB50" s="325">
        <f t="shared" si="18"/>
        <v>0</v>
      </c>
      <c r="BC50" s="325">
        <f t="shared" si="19"/>
        <v>0</v>
      </c>
      <c r="BD50" s="325">
        <f t="shared" si="20"/>
        <v>0</v>
      </c>
    </row>
    <row r="51" spans="1:56" s="325" customFormat="1" ht="25.5" customHeight="1" x14ac:dyDescent="0.2">
      <c r="A51" s="113">
        <v>1</v>
      </c>
      <c r="B51" s="113" t="s">
        <v>305</v>
      </c>
      <c r="C51" s="345" t="s">
        <v>0</v>
      </c>
      <c r="D51" s="150" t="s">
        <v>459</v>
      </c>
      <c r="E51" s="154" t="str">
        <f>IF($D$8="Category C", "Priority 1", "Required")</f>
        <v>Required</v>
      </c>
      <c r="F51" s="193"/>
      <c r="G51" s="225"/>
      <c r="H51" s="323">
        <f t="shared" si="53"/>
        <v>1</v>
      </c>
      <c r="I51" s="193"/>
      <c r="J51" s="225"/>
      <c r="K51" s="323">
        <f t="shared" si="54"/>
        <v>1</v>
      </c>
      <c r="L51" s="193"/>
      <c r="M51" s="225"/>
      <c r="N51" s="323">
        <f t="shared" si="55"/>
        <v>1</v>
      </c>
      <c r="O51" s="193"/>
      <c r="P51" s="225"/>
      <c r="Q51" s="323">
        <f>$A51-O51-P51</f>
        <v>1</v>
      </c>
      <c r="R51" s="193"/>
      <c r="S51" s="225"/>
      <c r="T51" s="323">
        <f t="shared" si="57"/>
        <v>1</v>
      </c>
      <c r="U51" s="344"/>
      <c r="V51" s="415" t="s">
        <v>119</v>
      </c>
      <c r="W51" s="324">
        <f t="shared" si="58"/>
        <v>0</v>
      </c>
      <c r="X51" s="317" t="str">
        <f t="shared" si="59"/>
        <v>Yes1</v>
      </c>
      <c r="AI51" s="325">
        <f t="shared" si="65"/>
        <v>0</v>
      </c>
      <c r="AJ51" s="325">
        <f t="shared" si="66"/>
        <v>0</v>
      </c>
      <c r="AK51" s="325">
        <f t="shared" si="67"/>
        <v>0</v>
      </c>
      <c r="AL51" s="325">
        <f t="shared" si="68"/>
        <v>0</v>
      </c>
      <c r="AM51" s="325">
        <f t="shared" si="69"/>
        <v>0</v>
      </c>
      <c r="AO51" s="325">
        <f>IF(AND(AP51+AQ51+AR51+AS51+AT51&gt;0,E51="Required",C51="Yes"),1,0)</f>
        <v>0</v>
      </c>
      <c r="AP51" s="325">
        <f>IF(AND($D$7="Programming",F51="",E51="Required",C51="Yes"),1,0)</f>
        <v>0</v>
      </c>
      <c r="AQ51" s="325">
        <f>IF(AND($D$7="Schematic Design",I51="",E51="Required",C51="Yes"),1,0)</f>
        <v>0</v>
      </c>
      <c r="AR51" s="325">
        <f>IF(AND($D$7="Detailed Design",L51="",E51="Required",C51="Yes"),1,0)</f>
        <v>0</v>
      </c>
      <c r="AS51" s="325">
        <f>IF(AND($D$7="Construction Documentation",O51="",E51="Required",C51="Yes"),1,0)</f>
        <v>0</v>
      </c>
      <c r="AT51" s="325">
        <f>IF(AND($D$7="Closeout",R51="",E51="Required",C51="Yes"),1,0)</f>
        <v>0</v>
      </c>
      <c r="AY51" s="325">
        <f t="shared" si="15"/>
        <v>1</v>
      </c>
      <c r="AZ51" s="325">
        <f t="shared" si="16"/>
        <v>0</v>
      </c>
      <c r="BA51" s="325">
        <f t="shared" si="17"/>
        <v>0</v>
      </c>
      <c r="BB51" s="325">
        <f t="shared" si="18"/>
        <v>0</v>
      </c>
      <c r="BC51" s="325">
        <f t="shared" si="19"/>
        <v>0</v>
      </c>
      <c r="BD51" s="325">
        <f t="shared" si="20"/>
        <v>0</v>
      </c>
    </row>
    <row r="52" spans="1:56" s="325" customFormat="1" ht="15.75" x14ac:dyDescent="0.2">
      <c r="A52" s="113">
        <v>1</v>
      </c>
      <c r="B52" s="113" t="s">
        <v>306</v>
      </c>
      <c r="C52" s="345" t="s">
        <v>0</v>
      </c>
      <c r="D52" s="150" t="s">
        <v>342</v>
      </c>
      <c r="E52" s="154" t="s">
        <v>351</v>
      </c>
      <c r="F52" s="193"/>
      <c r="G52" s="225"/>
      <c r="H52" s="323">
        <f t="shared" si="53"/>
        <v>1</v>
      </c>
      <c r="I52" s="193"/>
      <c r="J52" s="225"/>
      <c r="K52" s="323">
        <f t="shared" si="54"/>
        <v>1</v>
      </c>
      <c r="L52" s="193"/>
      <c r="M52" s="225"/>
      <c r="N52" s="323">
        <f t="shared" si="55"/>
        <v>1</v>
      </c>
      <c r="O52" s="193"/>
      <c r="P52" s="225"/>
      <c r="Q52" s="323">
        <f t="shared" si="56"/>
        <v>1</v>
      </c>
      <c r="R52" s="193"/>
      <c r="S52" s="225"/>
      <c r="T52" s="323">
        <f t="shared" si="57"/>
        <v>1</v>
      </c>
      <c r="U52" s="344"/>
      <c r="V52" s="415" t="s">
        <v>119</v>
      </c>
      <c r="W52" s="324">
        <f t="shared" si="58"/>
        <v>0</v>
      </c>
      <c r="X52" s="317" t="str">
        <f t="shared" si="59"/>
        <v>Yes1</v>
      </c>
      <c r="AI52" s="325">
        <f t="shared" si="65"/>
        <v>0</v>
      </c>
      <c r="AJ52" s="325">
        <f t="shared" si="66"/>
        <v>0</v>
      </c>
      <c r="AK52" s="325">
        <f t="shared" si="67"/>
        <v>0</v>
      </c>
      <c r="AL52" s="325">
        <f t="shared" si="68"/>
        <v>0</v>
      </c>
      <c r="AM52" s="325">
        <f t="shared" si="69"/>
        <v>0</v>
      </c>
      <c r="AY52" s="325">
        <f t="shared" si="15"/>
        <v>0</v>
      </c>
      <c r="AZ52" s="325">
        <f t="shared" si="16"/>
        <v>0</v>
      </c>
      <c r="BA52" s="325">
        <f t="shared" si="17"/>
        <v>0</v>
      </c>
      <c r="BB52" s="325">
        <f t="shared" si="18"/>
        <v>0</v>
      </c>
      <c r="BC52" s="325">
        <f t="shared" si="19"/>
        <v>0</v>
      </c>
      <c r="BD52" s="325">
        <f t="shared" si="20"/>
        <v>0</v>
      </c>
    </row>
    <row r="53" spans="1:56" s="325" customFormat="1" ht="25.5" x14ac:dyDescent="0.2">
      <c r="A53" s="113">
        <v>1</v>
      </c>
      <c r="B53" s="113" t="s">
        <v>307</v>
      </c>
      <c r="C53" s="345" t="s">
        <v>0</v>
      </c>
      <c r="D53" s="150" t="s">
        <v>370</v>
      </c>
      <c r="E53" s="154" t="s">
        <v>2</v>
      </c>
      <c r="F53" s="193"/>
      <c r="G53" s="225"/>
      <c r="H53" s="323">
        <f t="shared" si="53"/>
        <v>1</v>
      </c>
      <c r="I53" s="193"/>
      <c r="J53" s="225"/>
      <c r="K53" s="323">
        <f t="shared" si="54"/>
        <v>1</v>
      </c>
      <c r="L53" s="193"/>
      <c r="M53" s="225"/>
      <c r="N53" s="323">
        <f t="shared" si="55"/>
        <v>1</v>
      </c>
      <c r="O53" s="193"/>
      <c r="P53" s="225"/>
      <c r="Q53" s="323">
        <f t="shared" si="56"/>
        <v>1</v>
      </c>
      <c r="R53" s="193"/>
      <c r="S53" s="225"/>
      <c r="T53" s="323">
        <f t="shared" si="57"/>
        <v>1</v>
      </c>
      <c r="U53" s="344"/>
      <c r="V53" s="415" t="s">
        <v>119</v>
      </c>
      <c r="W53" s="324">
        <f t="shared" si="58"/>
        <v>0</v>
      </c>
      <c r="X53" s="317" t="str">
        <f t="shared" si="59"/>
        <v>Yes1</v>
      </c>
      <c r="AI53" s="325">
        <f t="shared" si="65"/>
        <v>0</v>
      </c>
      <c r="AJ53" s="325">
        <f t="shared" si="66"/>
        <v>0</v>
      </c>
      <c r="AK53" s="325">
        <f t="shared" si="67"/>
        <v>0</v>
      </c>
      <c r="AL53" s="325">
        <f t="shared" si="68"/>
        <v>0</v>
      </c>
      <c r="AM53" s="325">
        <f t="shared" si="69"/>
        <v>0</v>
      </c>
      <c r="AO53" s="325">
        <f>IF(AND(AP53+AQ53+AR53+AS53+AT53&gt;0,E53="Required",C53="Yes"),1,0)</f>
        <v>0</v>
      </c>
      <c r="AP53" s="325">
        <f>IF(AND($D$7="Programming",F53="",E53="Required",C53="Yes"),1,0)</f>
        <v>0</v>
      </c>
      <c r="AQ53" s="325">
        <f>IF(AND($D$7="Schematic Design",I53="",E53="Required",C53="Yes"),1,0)</f>
        <v>0</v>
      </c>
      <c r="AR53" s="325">
        <f>IF(AND($D$7="Detailed Design",L53="",E53="Required",C53="Yes"),1,0)</f>
        <v>0</v>
      </c>
      <c r="AS53" s="325">
        <f>IF(AND($D$7="Construction Documentation",O53="",E53="Required",C53="Yes"),1,0)</f>
        <v>0</v>
      </c>
      <c r="AT53" s="325">
        <f>IF(AND($D$7="Closeout",R53="",E53="Required",C53="Yes"),1,0)</f>
        <v>0</v>
      </c>
      <c r="AY53" s="325">
        <f t="shared" si="15"/>
        <v>1</v>
      </c>
      <c r="AZ53" s="325">
        <f t="shared" si="16"/>
        <v>0</v>
      </c>
      <c r="BA53" s="325">
        <f t="shared" si="17"/>
        <v>0</v>
      </c>
      <c r="BB53" s="325">
        <f t="shared" si="18"/>
        <v>0</v>
      </c>
      <c r="BC53" s="325">
        <f t="shared" si="19"/>
        <v>0</v>
      </c>
      <c r="BD53" s="325">
        <f t="shared" si="20"/>
        <v>0</v>
      </c>
    </row>
    <row r="54" spans="1:56" s="325" customFormat="1" ht="38.25" x14ac:dyDescent="0.2">
      <c r="A54" s="113">
        <v>8</v>
      </c>
      <c r="B54" s="113" t="s">
        <v>327</v>
      </c>
      <c r="C54" s="345" t="s">
        <v>0</v>
      </c>
      <c r="D54" s="150" t="s">
        <v>460</v>
      </c>
      <c r="E54" s="154" t="s">
        <v>351</v>
      </c>
      <c r="F54" s="193"/>
      <c r="G54" s="225"/>
      <c r="H54" s="323">
        <f t="shared" si="53"/>
        <v>8</v>
      </c>
      <c r="I54" s="193"/>
      <c r="J54" s="225"/>
      <c r="K54" s="323">
        <f t="shared" si="54"/>
        <v>8</v>
      </c>
      <c r="L54" s="193"/>
      <c r="M54" s="225"/>
      <c r="N54" s="323">
        <f t="shared" si="55"/>
        <v>8</v>
      </c>
      <c r="O54" s="193"/>
      <c r="P54" s="225"/>
      <c r="Q54" s="323">
        <f t="shared" si="56"/>
        <v>8</v>
      </c>
      <c r="R54" s="193"/>
      <c r="S54" s="225"/>
      <c r="T54" s="323">
        <f t="shared" si="57"/>
        <v>8</v>
      </c>
      <c r="U54" s="344"/>
      <c r="V54" s="415" t="s">
        <v>119</v>
      </c>
      <c r="W54" s="324">
        <f t="shared" si="58"/>
        <v>0</v>
      </c>
      <c r="X54" s="317" t="str">
        <f>IF(C54="Yes","Yes8","Zero8")</f>
        <v>Yes8</v>
      </c>
      <c r="AI54" s="325">
        <f t="shared" si="65"/>
        <v>0</v>
      </c>
      <c r="AJ54" s="325">
        <f t="shared" si="66"/>
        <v>0</v>
      </c>
      <c r="AK54" s="325">
        <f t="shared" si="67"/>
        <v>0</v>
      </c>
      <c r="AL54" s="325">
        <f t="shared" si="68"/>
        <v>0</v>
      </c>
      <c r="AM54" s="325">
        <f t="shared" si="69"/>
        <v>0</v>
      </c>
      <c r="AY54" s="325">
        <f t="shared" si="15"/>
        <v>0</v>
      </c>
      <c r="AZ54" s="325">
        <f t="shared" si="16"/>
        <v>0</v>
      </c>
      <c r="BA54" s="325">
        <f t="shared" si="17"/>
        <v>0</v>
      </c>
      <c r="BB54" s="325">
        <f t="shared" si="18"/>
        <v>0</v>
      </c>
      <c r="BC54" s="325">
        <f t="shared" si="19"/>
        <v>0</v>
      </c>
      <c r="BD54" s="325">
        <f t="shared" si="20"/>
        <v>0</v>
      </c>
    </row>
    <row r="55" spans="1:56" s="325" customFormat="1" ht="15.75" x14ac:dyDescent="0.2">
      <c r="A55" s="113">
        <v>5</v>
      </c>
      <c r="B55" s="113" t="s">
        <v>308</v>
      </c>
      <c r="C55" s="345" t="s">
        <v>0</v>
      </c>
      <c r="D55" s="150" t="s">
        <v>222</v>
      </c>
      <c r="E55" s="154" t="s">
        <v>351</v>
      </c>
      <c r="F55" s="193"/>
      <c r="G55" s="225"/>
      <c r="H55" s="323">
        <f t="shared" si="53"/>
        <v>5</v>
      </c>
      <c r="I55" s="193"/>
      <c r="J55" s="225"/>
      <c r="K55" s="323">
        <f t="shared" si="54"/>
        <v>5</v>
      </c>
      <c r="L55" s="193"/>
      <c r="M55" s="225"/>
      <c r="N55" s="323">
        <f t="shared" si="55"/>
        <v>5</v>
      </c>
      <c r="O55" s="193"/>
      <c r="P55" s="225"/>
      <c r="Q55" s="323">
        <f t="shared" si="56"/>
        <v>5</v>
      </c>
      <c r="R55" s="193"/>
      <c r="S55" s="225"/>
      <c r="T55" s="323">
        <f t="shared" si="57"/>
        <v>5</v>
      </c>
      <c r="U55" s="344"/>
      <c r="V55" s="415" t="s">
        <v>194</v>
      </c>
      <c r="W55" s="324">
        <f t="shared" si="58"/>
        <v>0</v>
      </c>
      <c r="X55" s="317" t="str">
        <f>IF(C55="Yes","Yes5","Zero5")</f>
        <v>Yes5</v>
      </c>
      <c r="AI55" s="325">
        <f t="shared" si="65"/>
        <v>0</v>
      </c>
      <c r="AJ55" s="325">
        <f t="shared" si="66"/>
        <v>0</v>
      </c>
      <c r="AK55" s="325">
        <f t="shared" si="67"/>
        <v>0</v>
      </c>
      <c r="AL55" s="325">
        <f t="shared" si="68"/>
        <v>0</v>
      </c>
      <c r="AM55" s="325">
        <f t="shared" si="69"/>
        <v>0</v>
      </c>
      <c r="AY55" s="325">
        <f t="shared" si="15"/>
        <v>0</v>
      </c>
      <c r="AZ55" s="325">
        <f t="shared" si="16"/>
        <v>0</v>
      </c>
      <c r="BA55" s="325">
        <f t="shared" si="17"/>
        <v>0</v>
      </c>
      <c r="BB55" s="325">
        <f t="shared" si="18"/>
        <v>0</v>
      </c>
      <c r="BC55" s="325">
        <f t="shared" si="19"/>
        <v>0</v>
      </c>
      <c r="BD55" s="325">
        <f t="shared" si="20"/>
        <v>0</v>
      </c>
    </row>
    <row r="56" spans="1:56" s="325" customFormat="1" ht="15.75" x14ac:dyDescent="0.2">
      <c r="A56" s="113">
        <v>2</v>
      </c>
      <c r="B56" s="113" t="s">
        <v>309</v>
      </c>
      <c r="C56" s="345" t="s">
        <v>0</v>
      </c>
      <c r="D56" s="117" t="s">
        <v>223</v>
      </c>
      <c r="E56" s="154" t="s">
        <v>351</v>
      </c>
      <c r="F56" s="193"/>
      <c r="G56" s="225"/>
      <c r="H56" s="323">
        <f t="shared" si="53"/>
        <v>2</v>
      </c>
      <c r="I56" s="193"/>
      <c r="J56" s="225"/>
      <c r="K56" s="323">
        <f t="shared" si="54"/>
        <v>2</v>
      </c>
      <c r="L56" s="193"/>
      <c r="M56" s="225"/>
      <c r="N56" s="323">
        <f t="shared" si="55"/>
        <v>2</v>
      </c>
      <c r="O56" s="193"/>
      <c r="P56" s="225"/>
      <c r="Q56" s="323">
        <f t="shared" si="56"/>
        <v>2</v>
      </c>
      <c r="R56" s="193"/>
      <c r="S56" s="225"/>
      <c r="T56" s="323">
        <f t="shared" si="57"/>
        <v>2</v>
      </c>
      <c r="U56" s="343"/>
      <c r="V56" s="415" t="s">
        <v>194</v>
      </c>
      <c r="W56" s="324">
        <f t="shared" si="58"/>
        <v>0</v>
      </c>
      <c r="X56" s="317" t="str">
        <f>IF(C56="Yes","Yes2Only","Zero2")</f>
        <v>Yes2Only</v>
      </c>
      <c r="AI56" s="325">
        <f t="shared" si="65"/>
        <v>0</v>
      </c>
      <c r="AJ56" s="325">
        <f t="shared" si="66"/>
        <v>0</v>
      </c>
      <c r="AK56" s="325">
        <f t="shared" si="67"/>
        <v>0</v>
      </c>
      <c r="AL56" s="325">
        <f t="shared" si="68"/>
        <v>0</v>
      </c>
      <c r="AM56" s="325">
        <f t="shared" si="69"/>
        <v>0</v>
      </c>
      <c r="AY56" s="325">
        <f t="shared" si="15"/>
        <v>0</v>
      </c>
      <c r="AZ56" s="325">
        <f t="shared" si="16"/>
        <v>0</v>
      </c>
      <c r="BA56" s="325">
        <f t="shared" si="17"/>
        <v>0</v>
      </c>
      <c r="BB56" s="325">
        <f t="shared" si="18"/>
        <v>0</v>
      </c>
      <c r="BC56" s="325">
        <f t="shared" si="19"/>
        <v>0</v>
      </c>
      <c r="BD56" s="325">
        <f t="shared" si="20"/>
        <v>0</v>
      </c>
    </row>
    <row r="57" spans="1:56" s="325" customFormat="1" ht="15.75" x14ac:dyDescent="0.2">
      <c r="A57" s="113">
        <v>2</v>
      </c>
      <c r="B57" s="113" t="s">
        <v>310</v>
      </c>
      <c r="C57" s="345" t="s">
        <v>0</v>
      </c>
      <c r="D57" s="338" t="s">
        <v>461</v>
      </c>
      <c r="E57" s="154" t="s">
        <v>351</v>
      </c>
      <c r="F57" s="193"/>
      <c r="G57" s="225"/>
      <c r="H57" s="323">
        <f t="shared" si="53"/>
        <v>2</v>
      </c>
      <c r="I57" s="193"/>
      <c r="J57" s="225"/>
      <c r="K57" s="323">
        <f t="shared" si="54"/>
        <v>2</v>
      </c>
      <c r="L57" s="193"/>
      <c r="M57" s="225"/>
      <c r="N57" s="323">
        <f t="shared" si="55"/>
        <v>2</v>
      </c>
      <c r="O57" s="193"/>
      <c r="P57" s="225"/>
      <c r="Q57" s="323">
        <f t="shared" si="56"/>
        <v>2</v>
      </c>
      <c r="R57" s="193"/>
      <c r="S57" s="225"/>
      <c r="T57" s="323">
        <f t="shared" si="57"/>
        <v>2</v>
      </c>
      <c r="U57" s="344"/>
      <c r="V57" s="415" t="s">
        <v>194</v>
      </c>
      <c r="W57" s="324">
        <f t="shared" si="58"/>
        <v>0</v>
      </c>
      <c r="X57" s="317" t="str">
        <f t="shared" ref="X57:X58" si="70">IF(C57="Yes","Yes2Only","Zero2")</f>
        <v>Yes2Only</v>
      </c>
      <c r="AI57" s="325">
        <f t="shared" si="65"/>
        <v>0</v>
      </c>
      <c r="AJ57" s="325">
        <f t="shared" si="66"/>
        <v>0</v>
      </c>
      <c r="AK57" s="325">
        <f t="shared" si="67"/>
        <v>0</v>
      </c>
      <c r="AL57" s="325">
        <f t="shared" si="68"/>
        <v>0</v>
      </c>
      <c r="AM57" s="325">
        <f t="shared" si="69"/>
        <v>0</v>
      </c>
      <c r="AY57" s="325">
        <f t="shared" si="15"/>
        <v>0</v>
      </c>
      <c r="AZ57" s="325">
        <f t="shared" si="16"/>
        <v>0</v>
      </c>
      <c r="BA57" s="325">
        <f t="shared" si="17"/>
        <v>0</v>
      </c>
      <c r="BB57" s="325">
        <f t="shared" si="18"/>
        <v>0</v>
      </c>
      <c r="BC57" s="325">
        <f t="shared" si="19"/>
        <v>0</v>
      </c>
      <c r="BD57" s="325">
        <f t="shared" si="20"/>
        <v>0</v>
      </c>
    </row>
    <row r="58" spans="1:56" s="325" customFormat="1" ht="15.75" x14ac:dyDescent="0.2">
      <c r="A58" s="113">
        <v>2</v>
      </c>
      <c r="B58" s="113" t="s">
        <v>311</v>
      </c>
      <c r="C58" s="345" t="s">
        <v>0</v>
      </c>
      <c r="D58" s="117" t="s">
        <v>224</v>
      </c>
      <c r="E58" s="154" t="s">
        <v>351</v>
      </c>
      <c r="F58" s="193"/>
      <c r="G58" s="225"/>
      <c r="H58" s="323">
        <f t="shared" si="53"/>
        <v>2</v>
      </c>
      <c r="I58" s="193"/>
      <c r="J58" s="225"/>
      <c r="K58" s="323">
        <f t="shared" si="54"/>
        <v>2</v>
      </c>
      <c r="L58" s="193"/>
      <c r="M58" s="225"/>
      <c r="N58" s="323">
        <f t="shared" si="55"/>
        <v>2</v>
      </c>
      <c r="O58" s="193"/>
      <c r="P58" s="225"/>
      <c r="Q58" s="323">
        <f t="shared" si="56"/>
        <v>2</v>
      </c>
      <c r="R58" s="193"/>
      <c r="S58" s="225"/>
      <c r="T58" s="323">
        <f t="shared" si="57"/>
        <v>2</v>
      </c>
      <c r="U58" s="344"/>
      <c r="V58" s="415" t="s">
        <v>193</v>
      </c>
      <c r="W58" s="324">
        <f t="shared" si="58"/>
        <v>0</v>
      </c>
      <c r="X58" s="317" t="str">
        <f t="shared" si="70"/>
        <v>Yes2Only</v>
      </c>
      <c r="AI58" s="325">
        <f t="shared" si="65"/>
        <v>0</v>
      </c>
      <c r="AJ58" s="325">
        <f t="shared" si="66"/>
        <v>0</v>
      </c>
      <c r="AK58" s="325">
        <f t="shared" si="67"/>
        <v>0</v>
      </c>
      <c r="AL58" s="325">
        <f t="shared" si="68"/>
        <v>0</v>
      </c>
      <c r="AM58" s="325">
        <f t="shared" si="69"/>
        <v>0</v>
      </c>
      <c r="AY58" s="325">
        <f t="shared" si="15"/>
        <v>0</v>
      </c>
      <c r="AZ58" s="325">
        <f t="shared" si="16"/>
        <v>0</v>
      </c>
      <c r="BA58" s="325">
        <f t="shared" si="17"/>
        <v>0</v>
      </c>
      <c r="BB58" s="325">
        <f t="shared" si="18"/>
        <v>0</v>
      </c>
      <c r="BC58" s="325">
        <f t="shared" si="19"/>
        <v>0</v>
      </c>
      <c r="BD58" s="325">
        <f t="shared" si="20"/>
        <v>0</v>
      </c>
    </row>
    <row r="59" spans="1:56" s="325" customFormat="1" ht="15.75" x14ac:dyDescent="0.2">
      <c r="A59" s="113">
        <v>1</v>
      </c>
      <c r="B59" s="113" t="s">
        <v>312</v>
      </c>
      <c r="C59" s="345" t="s">
        <v>0</v>
      </c>
      <c r="D59" s="117" t="s">
        <v>172</v>
      </c>
      <c r="E59" s="154" t="str">
        <f>IF($D$8="Category A","Required","Priority 1")</f>
        <v>Priority 1</v>
      </c>
      <c r="F59" s="193"/>
      <c r="G59" s="225"/>
      <c r="H59" s="323">
        <f t="shared" si="53"/>
        <v>1</v>
      </c>
      <c r="I59" s="193"/>
      <c r="J59" s="225"/>
      <c r="K59" s="323">
        <f t="shared" si="54"/>
        <v>1</v>
      </c>
      <c r="L59" s="193"/>
      <c r="M59" s="225"/>
      <c r="N59" s="323">
        <f t="shared" si="55"/>
        <v>1</v>
      </c>
      <c r="O59" s="193"/>
      <c r="P59" s="225"/>
      <c r="Q59" s="323">
        <f t="shared" si="56"/>
        <v>1</v>
      </c>
      <c r="R59" s="193"/>
      <c r="S59" s="225"/>
      <c r="T59" s="323">
        <f t="shared" si="57"/>
        <v>1</v>
      </c>
      <c r="U59" s="344"/>
      <c r="V59" s="416" t="s">
        <v>193</v>
      </c>
      <c r="W59" s="324">
        <f t="shared" si="58"/>
        <v>0</v>
      </c>
      <c r="X59" s="317" t="str">
        <f t="shared" ref="X59" si="71">IF(C59="Yes","Yes1","Zero1")</f>
        <v>Yes1</v>
      </c>
      <c r="AI59" s="325">
        <f t="shared" si="65"/>
        <v>0</v>
      </c>
      <c r="AJ59" s="325">
        <f t="shared" si="66"/>
        <v>0</v>
      </c>
      <c r="AK59" s="325">
        <f t="shared" si="67"/>
        <v>0</v>
      </c>
      <c r="AL59" s="325">
        <f t="shared" si="68"/>
        <v>0</v>
      </c>
      <c r="AM59" s="325">
        <f t="shared" si="69"/>
        <v>0</v>
      </c>
      <c r="AO59" s="325">
        <f>IF(AND(AP59+AQ59+AR59+AS59+AT59&gt;0,E59="Required",C59="Yes"),1,0)</f>
        <v>0</v>
      </c>
      <c r="AP59" s="325">
        <f>IF(AND($D$7="Programming",F59="",E59="Required",C59="Yes"),1,0)</f>
        <v>0</v>
      </c>
      <c r="AQ59" s="325">
        <f>IF(AND($D$7="Schematic Design",I59="",E59="Required",C59="Yes"),1,0)</f>
        <v>0</v>
      </c>
      <c r="AR59" s="325">
        <f>IF(AND($D$7="Detailed Design",L59="",E59="Required",C59="Yes"),1,0)</f>
        <v>0</v>
      </c>
      <c r="AS59" s="325">
        <f>IF(AND($D$7="Construction Documentation",O59="",E59="Required",C59="Yes"),1,0)</f>
        <v>0</v>
      </c>
      <c r="AT59" s="325">
        <f>IF(AND($D$7="Closeout",R59="",E59="Required",C59="Yes"),1,0)</f>
        <v>0</v>
      </c>
      <c r="AY59" s="325">
        <f t="shared" si="15"/>
        <v>0</v>
      </c>
      <c r="AZ59" s="325">
        <f t="shared" si="16"/>
        <v>0</v>
      </c>
      <c r="BA59" s="325">
        <f t="shared" si="17"/>
        <v>0</v>
      </c>
      <c r="BB59" s="325">
        <f t="shared" si="18"/>
        <v>0</v>
      </c>
      <c r="BC59" s="325">
        <f t="shared" si="19"/>
        <v>0</v>
      </c>
      <c r="BD59" s="325">
        <f t="shared" si="20"/>
        <v>0</v>
      </c>
    </row>
    <row r="60" spans="1:56" s="325" customFormat="1" ht="25.5" x14ac:dyDescent="0.2">
      <c r="A60" s="113">
        <v>3</v>
      </c>
      <c r="B60" s="113" t="s">
        <v>313</v>
      </c>
      <c r="C60" s="345" t="s">
        <v>0</v>
      </c>
      <c r="D60" s="117" t="s">
        <v>325</v>
      </c>
      <c r="E60" s="154" t="s">
        <v>351</v>
      </c>
      <c r="F60" s="193"/>
      <c r="G60" s="225"/>
      <c r="H60" s="323">
        <f t="shared" si="53"/>
        <v>3</v>
      </c>
      <c r="I60" s="193"/>
      <c r="J60" s="225"/>
      <c r="K60" s="323">
        <f t="shared" si="54"/>
        <v>3</v>
      </c>
      <c r="L60" s="193"/>
      <c r="M60" s="225"/>
      <c r="N60" s="323">
        <f t="shared" si="55"/>
        <v>3</v>
      </c>
      <c r="O60" s="193"/>
      <c r="P60" s="225"/>
      <c r="Q60" s="323">
        <f t="shared" si="56"/>
        <v>3</v>
      </c>
      <c r="R60" s="193"/>
      <c r="S60" s="225"/>
      <c r="T60" s="323">
        <f t="shared" si="57"/>
        <v>3</v>
      </c>
      <c r="U60" s="344"/>
      <c r="V60" s="416" t="s">
        <v>119</v>
      </c>
      <c r="W60" s="324">
        <f t="shared" si="58"/>
        <v>0</v>
      </c>
      <c r="X60" s="317" t="str">
        <f>IF(C60="Yes","Yes3Only","Zero3")</f>
        <v>Yes3Only</v>
      </c>
      <c r="AI60" s="325">
        <f t="shared" si="65"/>
        <v>0</v>
      </c>
      <c r="AJ60" s="325">
        <f t="shared" si="66"/>
        <v>0</v>
      </c>
      <c r="AK60" s="325">
        <f t="shared" si="67"/>
        <v>0</v>
      </c>
      <c r="AL60" s="325">
        <f t="shared" si="68"/>
        <v>0</v>
      </c>
      <c r="AM60" s="325">
        <f t="shared" si="69"/>
        <v>0</v>
      </c>
      <c r="AY60" s="325">
        <f t="shared" si="15"/>
        <v>0</v>
      </c>
      <c r="AZ60" s="325">
        <f t="shared" si="16"/>
        <v>0</v>
      </c>
      <c r="BA60" s="325">
        <f t="shared" si="17"/>
        <v>0</v>
      </c>
      <c r="BB60" s="325">
        <f t="shared" si="18"/>
        <v>0</v>
      </c>
      <c r="BC60" s="325">
        <f t="shared" si="19"/>
        <v>0</v>
      </c>
      <c r="BD60" s="325">
        <f t="shared" si="20"/>
        <v>0</v>
      </c>
    </row>
    <row r="61" spans="1:56" s="325" customFormat="1" ht="25.5" x14ac:dyDescent="0.2">
      <c r="A61" s="113">
        <v>3</v>
      </c>
      <c r="B61" s="113" t="s">
        <v>314</v>
      </c>
      <c r="C61" s="345" t="s">
        <v>0</v>
      </c>
      <c r="D61" s="117" t="s">
        <v>343</v>
      </c>
      <c r="E61" s="154" t="s">
        <v>351</v>
      </c>
      <c r="F61" s="193"/>
      <c r="G61" s="225"/>
      <c r="H61" s="323">
        <f t="shared" si="53"/>
        <v>3</v>
      </c>
      <c r="I61" s="193"/>
      <c r="J61" s="225"/>
      <c r="K61" s="323">
        <f t="shared" si="54"/>
        <v>3</v>
      </c>
      <c r="L61" s="193"/>
      <c r="M61" s="225"/>
      <c r="N61" s="323">
        <f t="shared" si="55"/>
        <v>3</v>
      </c>
      <c r="O61" s="193"/>
      <c r="P61" s="225"/>
      <c r="Q61" s="323">
        <f t="shared" si="56"/>
        <v>3</v>
      </c>
      <c r="R61" s="193"/>
      <c r="S61" s="225"/>
      <c r="T61" s="323">
        <f t="shared" si="57"/>
        <v>3</v>
      </c>
      <c r="U61" s="344"/>
      <c r="V61" s="416" t="s">
        <v>119</v>
      </c>
      <c r="W61" s="324">
        <f t="shared" si="58"/>
        <v>0</v>
      </c>
      <c r="X61" s="317" t="str">
        <f>IF(C61="Yes","Yes3Only","Zero3")</f>
        <v>Yes3Only</v>
      </c>
      <c r="AI61" s="325">
        <f t="shared" si="65"/>
        <v>0</v>
      </c>
      <c r="AJ61" s="325">
        <f t="shared" si="66"/>
        <v>0</v>
      </c>
      <c r="AK61" s="325">
        <f t="shared" si="67"/>
        <v>0</v>
      </c>
      <c r="AL61" s="325">
        <f t="shared" si="68"/>
        <v>0</v>
      </c>
      <c r="AM61" s="325">
        <f t="shared" si="69"/>
        <v>0</v>
      </c>
      <c r="AY61" s="325">
        <f t="shared" si="15"/>
        <v>0</v>
      </c>
      <c r="AZ61" s="325">
        <f t="shared" si="16"/>
        <v>0</v>
      </c>
      <c r="BA61" s="325">
        <f t="shared" si="17"/>
        <v>0</v>
      </c>
      <c r="BB61" s="325">
        <f t="shared" si="18"/>
        <v>0</v>
      </c>
      <c r="BC61" s="325">
        <f t="shared" si="19"/>
        <v>0</v>
      </c>
      <c r="BD61" s="325">
        <f t="shared" si="20"/>
        <v>0</v>
      </c>
    </row>
    <row r="62" spans="1:56" s="325" customFormat="1" ht="25.5" x14ac:dyDescent="0.2">
      <c r="A62" s="113">
        <v>1</v>
      </c>
      <c r="B62" s="113" t="s">
        <v>315</v>
      </c>
      <c r="C62" s="345" t="s">
        <v>0</v>
      </c>
      <c r="D62" s="150" t="s">
        <v>324</v>
      </c>
      <c r="E62" s="154" t="str">
        <f>IF($D$8="Category A","Required","Priority 1")</f>
        <v>Priority 1</v>
      </c>
      <c r="F62" s="193"/>
      <c r="G62" s="225"/>
      <c r="H62" s="323">
        <f t="shared" si="53"/>
        <v>1</v>
      </c>
      <c r="I62" s="193"/>
      <c r="J62" s="225"/>
      <c r="K62" s="323">
        <f t="shared" si="54"/>
        <v>1</v>
      </c>
      <c r="L62" s="193"/>
      <c r="M62" s="225"/>
      <c r="N62" s="323">
        <f t="shared" si="55"/>
        <v>1</v>
      </c>
      <c r="O62" s="193"/>
      <c r="P62" s="225"/>
      <c r="Q62" s="323">
        <f t="shared" si="56"/>
        <v>1</v>
      </c>
      <c r="R62" s="193"/>
      <c r="S62" s="225"/>
      <c r="T62" s="323">
        <f t="shared" si="57"/>
        <v>1</v>
      </c>
      <c r="U62" s="344"/>
      <c r="V62" s="416" t="s">
        <v>7</v>
      </c>
      <c r="W62" s="324">
        <f t="shared" si="58"/>
        <v>0</v>
      </c>
      <c r="X62" s="317" t="str">
        <f t="shared" ref="X62:X64" si="72">IF(C62="Yes","Yes1","Zero1")</f>
        <v>Yes1</v>
      </c>
      <c r="AI62" s="325">
        <f t="shared" si="65"/>
        <v>0</v>
      </c>
      <c r="AJ62" s="325">
        <f t="shared" si="66"/>
        <v>0</v>
      </c>
      <c r="AK62" s="325">
        <f t="shared" si="67"/>
        <v>0</v>
      </c>
      <c r="AL62" s="325">
        <f t="shared" si="68"/>
        <v>0</v>
      </c>
      <c r="AM62" s="325">
        <f t="shared" si="69"/>
        <v>0</v>
      </c>
      <c r="AO62" s="325">
        <f>IF(AND(AP62+AQ62+AR62+AS62+AT62&gt;0,E62="Required",C62="Yes"),1,0)</f>
        <v>0</v>
      </c>
      <c r="AP62" s="325">
        <f>IF(AND($D$7="Programming",F62="",E62="Required",C62="Yes"),1,0)</f>
        <v>0</v>
      </c>
      <c r="AQ62" s="325">
        <f>IF(AND($D$7="Schematic Design",I62="",E62="Required",C62="Yes"),1,0)</f>
        <v>0</v>
      </c>
      <c r="AR62" s="325">
        <f>IF(AND($D$7="Detailed Design",L62="",E62="Required",C62="Yes"),1,0)</f>
        <v>0</v>
      </c>
      <c r="AS62" s="325">
        <f>IF(AND($D$7="Construction Documentation",O62="",E62="Required",C62="Yes"),1,0)</f>
        <v>0</v>
      </c>
      <c r="AT62" s="325">
        <f>IF(AND($D$7="Closeout",R62="",E62="Required",C62="Yes"),1,0)</f>
        <v>0</v>
      </c>
      <c r="AY62" s="325">
        <f t="shared" si="15"/>
        <v>0</v>
      </c>
      <c r="AZ62" s="325">
        <f t="shared" si="16"/>
        <v>0</v>
      </c>
      <c r="BA62" s="325">
        <f t="shared" si="17"/>
        <v>0</v>
      </c>
      <c r="BB62" s="325">
        <f t="shared" si="18"/>
        <v>0</v>
      </c>
      <c r="BC62" s="325">
        <f t="shared" si="19"/>
        <v>0</v>
      </c>
      <c r="BD62" s="325">
        <f t="shared" si="20"/>
        <v>0</v>
      </c>
    </row>
    <row r="63" spans="1:56" s="325" customFormat="1" ht="25.5" x14ac:dyDescent="0.2">
      <c r="A63" s="113">
        <v>1</v>
      </c>
      <c r="B63" s="113" t="s">
        <v>316</v>
      </c>
      <c r="C63" s="345" t="s">
        <v>0</v>
      </c>
      <c r="D63" s="117" t="s">
        <v>346</v>
      </c>
      <c r="E63" s="154" t="str">
        <f>IF(AND(D6="New_Construction",OR($D$8="Category A",$D$8="Category B")),"Required","Priority 1")</f>
        <v>Priority 1</v>
      </c>
      <c r="F63" s="193"/>
      <c r="G63" s="225"/>
      <c r="H63" s="323">
        <f t="shared" si="53"/>
        <v>1</v>
      </c>
      <c r="I63" s="193"/>
      <c r="J63" s="225"/>
      <c r="K63" s="323">
        <f t="shared" si="54"/>
        <v>1</v>
      </c>
      <c r="L63" s="193"/>
      <c r="M63" s="225"/>
      <c r="N63" s="323">
        <f t="shared" si="55"/>
        <v>1</v>
      </c>
      <c r="O63" s="193"/>
      <c r="P63" s="225"/>
      <c r="Q63" s="323">
        <f t="shared" si="56"/>
        <v>1</v>
      </c>
      <c r="R63" s="193"/>
      <c r="S63" s="225"/>
      <c r="T63" s="323">
        <f t="shared" si="57"/>
        <v>1</v>
      </c>
      <c r="U63" s="344"/>
      <c r="V63" s="416" t="s">
        <v>119</v>
      </c>
      <c r="W63" s="324">
        <f t="shared" si="58"/>
        <v>0</v>
      </c>
      <c r="X63" s="317" t="str">
        <f t="shared" si="72"/>
        <v>Yes1</v>
      </c>
      <c r="AI63" s="325">
        <f t="shared" si="65"/>
        <v>0</v>
      </c>
      <c r="AJ63" s="325">
        <f t="shared" si="66"/>
        <v>0</v>
      </c>
      <c r="AK63" s="325">
        <f t="shared" si="67"/>
        <v>0</v>
      </c>
      <c r="AL63" s="325">
        <f t="shared" si="68"/>
        <v>0</v>
      </c>
      <c r="AM63" s="325">
        <f t="shared" si="69"/>
        <v>0</v>
      </c>
      <c r="AO63" s="325">
        <f>IF(AND(AP63+AQ63+AR63+AS63+AT63&gt;0,E63="Required",C63="Yes"),1,0)</f>
        <v>0</v>
      </c>
      <c r="AP63" s="325">
        <f>IF(AND($D$7="Programming",F63="",E63="Required",C63="Yes"),1,0)</f>
        <v>0</v>
      </c>
      <c r="AQ63" s="325">
        <f>IF(AND($D$7="Schematic Design",I63="",E63="Required",C63="Yes"),1,0)</f>
        <v>0</v>
      </c>
      <c r="AR63" s="325">
        <f>IF(AND($D$7="Detailed Design",L63="",E63="Required",C63="Yes"),1,0)</f>
        <v>0</v>
      </c>
      <c r="AS63" s="325">
        <f>IF(AND($D$7="Construction Documentation",O63="",E63="Required",C63="Yes"),1,0)</f>
        <v>0</v>
      </c>
      <c r="AT63" s="325">
        <f>IF(AND($D$7="Closeout",R63="",E63="Required",C63="Yes"),1,0)</f>
        <v>0</v>
      </c>
      <c r="AY63" s="325">
        <f t="shared" si="15"/>
        <v>0</v>
      </c>
      <c r="AZ63" s="325">
        <f t="shared" si="16"/>
        <v>0</v>
      </c>
      <c r="BA63" s="325">
        <f t="shared" si="17"/>
        <v>0</v>
      </c>
      <c r="BB63" s="325">
        <f t="shared" si="18"/>
        <v>0</v>
      </c>
      <c r="BC63" s="325">
        <f t="shared" si="19"/>
        <v>0</v>
      </c>
      <c r="BD63" s="325">
        <f t="shared" si="20"/>
        <v>0</v>
      </c>
    </row>
    <row r="64" spans="1:56" s="325" customFormat="1" ht="38.25" x14ac:dyDescent="0.2">
      <c r="A64" s="113">
        <v>1</v>
      </c>
      <c r="B64" s="113" t="s">
        <v>317</v>
      </c>
      <c r="C64" s="345" t="s">
        <v>0</v>
      </c>
      <c r="D64" s="117" t="s">
        <v>347</v>
      </c>
      <c r="E64" s="154" t="s">
        <v>352</v>
      </c>
      <c r="F64" s="193"/>
      <c r="G64" s="225"/>
      <c r="H64" s="323">
        <f t="shared" si="53"/>
        <v>1</v>
      </c>
      <c r="I64" s="193"/>
      <c r="J64" s="225"/>
      <c r="K64" s="323">
        <f t="shared" si="54"/>
        <v>1</v>
      </c>
      <c r="L64" s="193"/>
      <c r="M64" s="225"/>
      <c r="N64" s="323">
        <f t="shared" si="55"/>
        <v>1</v>
      </c>
      <c r="O64" s="193"/>
      <c r="P64" s="225"/>
      <c r="Q64" s="323">
        <f t="shared" si="56"/>
        <v>1</v>
      </c>
      <c r="R64" s="193"/>
      <c r="S64" s="225"/>
      <c r="T64" s="323">
        <f t="shared" si="57"/>
        <v>1</v>
      </c>
      <c r="U64" s="344"/>
      <c r="V64" s="415" t="s">
        <v>7</v>
      </c>
      <c r="W64" s="324">
        <f t="shared" si="58"/>
        <v>0</v>
      </c>
      <c r="X64" s="317" t="str">
        <f t="shared" si="72"/>
        <v>Yes1</v>
      </c>
      <c r="AI64" s="325">
        <f t="shared" si="65"/>
        <v>0</v>
      </c>
      <c r="AJ64" s="325">
        <f t="shared" si="66"/>
        <v>0</v>
      </c>
      <c r="AK64" s="325">
        <f t="shared" si="67"/>
        <v>0</v>
      </c>
      <c r="AL64" s="325">
        <f t="shared" si="68"/>
        <v>0</v>
      </c>
      <c r="AM64" s="325">
        <f t="shared" si="69"/>
        <v>0</v>
      </c>
      <c r="AY64" s="325">
        <f t="shared" si="15"/>
        <v>0</v>
      </c>
      <c r="AZ64" s="325">
        <f t="shared" si="16"/>
        <v>0</v>
      </c>
      <c r="BA64" s="325">
        <f t="shared" si="17"/>
        <v>0</v>
      </c>
      <c r="BB64" s="325">
        <f t="shared" si="18"/>
        <v>0</v>
      </c>
      <c r="BC64" s="325">
        <f t="shared" si="19"/>
        <v>0</v>
      </c>
      <c r="BD64" s="325">
        <f t="shared" si="20"/>
        <v>0</v>
      </c>
    </row>
    <row r="65" spans="1:258" ht="39.950000000000003" customHeight="1" x14ac:dyDescent="0.2">
      <c r="A65" s="127" t="s">
        <v>297</v>
      </c>
      <c r="B65" s="128"/>
      <c r="C65" s="127"/>
      <c r="D65" s="129" t="s">
        <v>276</v>
      </c>
      <c r="E65" s="157" t="s">
        <v>270</v>
      </c>
      <c r="F65" s="178">
        <f t="shared" ref="F65:S65" si="73">SUM(F67:F75)</f>
        <v>0</v>
      </c>
      <c r="G65" s="223">
        <f t="shared" si="73"/>
        <v>0</v>
      </c>
      <c r="H65" s="172">
        <f t="shared" si="73"/>
        <v>15</v>
      </c>
      <c r="I65" s="178">
        <f t="shared" si="73"/>
        <v>0</v>
      </c>
      <c r="J65" s="223">
        <f t="shared" si="73"/>
        <v>0</v>
      </c>
      <c r="K65" s="172">
        <f t="shared" ref="K65" si="74">SUM(K67:K75)</f>
        <v>15</v>
      </c>
      <c r="L65" s="178">
        <f>SUM(L67:L75)</f>
        <v>0</v>
      </c>
      <c r="M65" s="223">
        <f>SUM(M67:M75)</f>
        <v>0</v>
      </c>
      <c r="N65" s="172">
        <f t="shared" ref="N65" si="75">SUM(N67:N75)</f>
        <v>15</v>
      </c>
      <c r="O65" s="178">
        <f t="shared" si="73"/>
        <v>0</v>
      </c>
      <c r="P65" s="223">
        <f t="shared" si="73"/>
        <v>0</v>
      </c>
      <c r="Q65" s="172">
        <f t="shared" ref="Q65" si="76">SUM(Q67:Q75)</f>
        <v>15</v>
      </c>
      <c r="R65" s="178">
        <f t="shared" si="73"/>
        <v>0</v>
      </c>
      <c r="S65" s="223">
        <f t="shared" si="73"/>
        <v>0</v>
      </c>
      <c r="T65" s="172">
        <f t="shared" ref="T65" si="77">SUM(T67:T75)</f>
        <v>15</v>
      </c>
      <c r="U65" s="187"/>
      <c r="V65" s="761" t="s">
        <v>201</v>
      </c>
      <c r="W65" s="762"/>
      <c r="X65" s="125"/>
      <c r="AY65" s="325">
        <f t="shared" si="15"/>
        <v>0</v>
      </c>
      <c r="AZ65" s="325">
        <f t="shared" si="16"/>
        <v>0</v>
      </c>
      <c r="BA65" s="325">
        <f t="shared" si="17"/>
        <v>0</v>
      </c>
      <c r="BB65" s="325">
        <f t="shared" si="18"/>
        <v>0</v>
      </c>
      <c r="BC65" s="325">
        <f t="shared" si="19"/>
        <v>0</v>
      </c>
      <c r="BD65" s="325">
        <f t="shared" si="20"/>
        <v>0</v>
      </c>
    </row>
    <row r="66" spans="1:258" ht="66.75" x14ac:dyDescent="0.2">
      <c r="A66" s="111" t="s">
        <v>350</v>
      </c>
      <c r="B66" s="111" t="s">
        <v>139</v>
      </c>
      <c r="C66" s="111" t="s">
        <v>326</v>
      </c>
      <c r="D66" s="112" t="s">
        <v>3</v>
      </c>
      <c r="E66" s="153" t="s">
        <v>300</v>
      </c>
      <c r="F66" s="179" t="s">
        <v>0</v>
      </c>
      <c r="G66" s="224" t="s">
        <v>12</v>
      </c>
      <c r="H66" s="173" t="s">
        <v>1</v>
      </c>
      <c r="I66" s="179" t="s">
        <v>0</v>
      </c>
      <c r="J66" s="224" t="s">
        <v>12</v>
      </c>
      <c r="K66" s="173" t="s">
        <v>1</v>
      </c>
      <c r="L66" s="179" t="s">
        <v>0</v>
      </c>
      <c r="M66" s="224" t="s">
        <v>12</v>
      </c>
      <c r="N66" s="173" t="s">
        <v>1</v>
      </c>
      <c r="O66" s="179" t="s">
        <v>0</v>
      </c>
      <c r="P66" s="224" t="s">
        <v>12</v>
      </c>
      <c r="Q66" s="173" t="s">
        <v>1</v>
      </c>
      <c r="R66" s="179" t="s">
        <v>0</v>
      </c>
      <c r="S66" s="224" t="s">
        <v>12</v>
      </c>
      <c r="T66" s="173" t="s">
        <v>1</v>
      </c>
      <c r="U66" s="184" t="s">
        <v>788</v>
      </c>
      <c r="V66" s="114" t="s">
        <v>264</v>
      </c>
      <c r="W66" s="115" t="s">
        <v>114</v>
      </c>
      <c r="X66" s="126"/>
      <c r="Y66" s="327"/>
      <c r="Z66" s="328"/>
      <c r="AA66" s="329"/>
      <c r="AB66" s="329"/>
      <c r="AC66" s="330"/>
      <c r="AE66" s="332"/>
      <c r="AF66" s="333"/>
      <c r="AG66" s="332"/>
      <c r="AH66" s="334"/>
      <c r="AI66" s="335"/>
      <c r="AJ66" s="332"/>
      <c r="AK66" s="333"/>
      <c r="AL66" s="332"/>
      <c r="AM66" s="336"/>
      <c r="AN66" s="329"/>
      <c r="AO66" s="329"/>
      <c r="AP66" s="327"/>
      <c r="AQ66" s="328"/>
      <c r="AR66" s="329"/>
      <c r="AS66" s="329"/>
      <c r="AT66" s="330"/>
      <c r="AU66" s="331"/>
      <c r="AV66" s="332"/>
      <c r="AW66" s="333"/>
      <c r="AX66" s="332"/>
      <c r="AY66" s="325">
        <f t="shared" si="15"/>
        <v>0</v>
      </c>
      <c r="AZ66" s="325">
        <f t="shared" si="16"/>
        <v>0</v>
      </c>
      <c r="BA66" s="325">
        <f t="shared" si="17"/>
        <v>0</v>
      </c>
      <c r="BB66" s="325">
        <f t="shared" si="18"/>
        <v>0</v>
      </c>
      <c r="BC66" s="325">
        <f t="shared" si="19"/>
        <v>0</v>
      </c>
      <c r="BD66" s="325">
        <f t="shared" si="20"/>
        <v>0</v>
      </c>
      <c r="BE66" s="329"/>
      <c r="BF66" s="327"/>
      <c r="BG66" s="328"/>
      <c r="BH66" s="329"/>
      <c r="BI66" s="329"/>
      <c r="BJ66" s="330"/>
      <c r="BK66" s="331"/>
      <c r="BL66" s="332"/>
      <c r="BM66" s="333"/>
      <c r="BN66" s="332"/>
      <c r="BO66" s="334"/>
      <c r="BP66" s="335"/>
      <c r="BQ66" s="332"/>
      <c r="BR66" s="333"/>
      <c r="BS66" s="332"/>
      <c r="BT66" s="336"/>
      <c r="BU66" s="329"/>
      <c r="BV66" s="327"/>
      <c r="BW66" s="328"/>
      <c r="BX66" s="329"/>
      <c r="BY66" s="329"/>
      <c r="BZ66" s="330"/>
      <c r="CA66" s="331"/>
      <c r="CB66" s="332"/>
      <c r="CC66" s="333"/>
      <c r="CD66" s="332"/>
      <c r="CE66" s="334"/>
      <c r="CF66" s="335"/>
      <c r="CG66" s="332"/>
      <c r="CH66" s="333"/>
      <c r="CI66" s="332"/>
      <c r="CJ66" s="336"/>
      <c r="CK66" s="329"/>
      <c r="CL66" s="327"/>
      <c r="CM66" s="328"/>
      <c r="CN66" s="329"/>
      <c r="CO66" s="329"/>
      <c r="CP66" s="330"/>
      <c r="CQ66" s="331"/>
      <c r="CR66" s="332"/>
      <c r="CS66" s="333"/>
      <c r="CT66" s="332"/>
      <c r="CU66" s="334"/>
      <c r="CV66" s="335"/>
      <c r="CW66" s="332"/>
      <c r="CX66" s="333"/>
      <c r="CY66" s="332"/>
      <c r="CZ66" s="336"/>
      <c r="DA66" s="329"/>
      <c r="DB66" s="327"/>
      <c r="DC66" s="328"/>
      <c r="DD66" s="329"/>
      <c r="DE66" s="329"/>
      <c r="DF66" s="330"/>
      <c r="DG66" s="331"/>
      <c r="DH66" s="332"/>
      <c r="DI66" s="333"/>
      <c r="DJ66" s="332"/>
      <c r="DK66" s="334"/>
      <c r="DL66" s="335"/>
      <c r="DM66" s="332"/>
      <c r="DN66" s="333"/>
      <c r="DO66" s="332"/>
      <c r="DP66" s="336"/>
      <c r="DQ66" s="329"/>
      <c r="DR66" s="327"/>
      <c r="DS66" s="328"/>
      <c r="DT66" s="329"/>
      <c r="DU66" s="329"/>
      <c r="DV66" s="330"/>
      <c r="DW66" s="331"/>
      <c r="DX66" s="332"/>
      <c r="DY66" s="333"/>
      <c r="DZ66" s="332"/>
      <c r="EA66" s="334"/>
      <c r="EB66" s="335"/>
      <c r="EC66" s="332"/>
      <c r="ED66" s="333"/>
      <c r="EE66" s="332"/>
      <c r="EF66" s="336"/>
      <c r="EG66" s="329"/>
      <c r="EH66" s="327"/>
      <c r="EI66" s="328"/>
      <c r="EJ66" s="329"/>
      <c r="EK66" s="329"/>
      <c r="EL66" s="330"/>
      <c r="EM66" s="331"/>
      <c r="EN66" s="332"/>
      <c r="EO66" s="333"/>
      <c r="EP66" s="332"/>
      <c r="EQ66" s="334"/>
      <c r="ER66" s="335"/>
      <c r="ES66" s="332"/>
      <c r="ET66" s="333"/>
      <c r="EU66" s="332"/>
      <c r="EV66" s="336"/>
      <c r="EW66" s="329"/>
      <c r="EX66" s="327"/>
      <c r="EY66" s="328"/>
      <c r="EZ66" s="329"/>
      <c r="FA66" s="329"/>
      <c r="FB66" s="330"/>
      <c r="FC66" s="331"/>
      <c r="FD66" s="332"/>
      <c r="FE66" s="333"/>
      <c r="FF66" s="332"/>
      <c r="FG66" s="334"/>
      <c r="FH66" s="335"/>
      <c r="FI66" s="332"/>
      <c r="FJ66" s="333"/>
      <c r="FK66" s="332"/>
      <c r="FL66" s="336"/>
      <c r="FM66" s="329"/>
      <c r="FN66" s="327"/>
      <c r="FO66" s="328"/>
      <c r="FP66" s="329"/>
      <c r="FQ66" s="329"/>
      <c r="FR66" s="330"/>
      <c r="FS66" s="331"/>
      <c r="FT66" s="332"/>
      <c r="FU66" s="333"/>
      <c r="FV66" s="332"/>
      <c r="FW66" s="334"/>
      <c r="FX66" s="335"/>
      <c r="FY66" s="332"/>
      <c r="FZ66" s="333"/>
      <c r="GA66" s="332"/>
      <c r="GB66" s="336"/>
      <c r="GC66" s="329"/>
      <c r="GD66" s="327"/>
      <c r="GE66" s="328"/>
      <c r="GF66" s="329"/>
      <c r="GG66" s="329"/>
      <c r="GH66" s="330"/>
      <c r="GI66" s="331"/>
      <c r="GJ66" s="332"/>
      <c r="GK66" s="333"/>
      <c r="GL66" s="332"/>
      <c r="GM66" s="334"/>
      <c r="GN66" s="335"/>
      <c r="GO66" s="332"/>
      <c r="GP66" s="333"/>
      <c r="GQ66" s="332"/>
      <c r="GR66" s="336"/>
      <c r="GS66" s="329"/>
      <c r="GT66" s="327"/>
      <c r="GU66" s="328"/>
      <c r="GV66" s="329"/>
      <c r="GW66" s="329"/>
      <c r="GX66" s="330"/>
      <c r="GY66" s="331"/>
      <c r="GZ66" s="332"/>
      <c r="HA66" s="333"/>
      <c r="HB66" s="332"/>
      <c r="HC66" s="334"/>
      <c r="HD66" s="335"/>
      <c r="HE66" s="332"/>
      <c r="HF66" s="333"/>
      <c r="HG66" s="332"/>
      <c r="HH66" s="336"/>
      <c r="HI66" s="329"/>
      <c r="HJ66" s="327"/>
      <c r="HK66" s="328"/>
      <c r="HL66" s="329"/>
      <c r="HM66" s="329"/>
      <c r="HN66" s="330"/>
      <c r="HO66" s="331"/>
      <c r="HP66" s="332"/>
      <c r="HQ66" s="333"/>
      <c r="HR66" s="332"/>
      <c r="HS66" s="334"/>
      <c r="HT66" s="335"/>
      <c r="HU66" s="332"/>
      <c r="HV66" s="333"/>
      <c r="HW66" s="332"/>
      <c r="HX66" s="336"/>
      <c r="HY66" s="329"/>
      <c r="HZ66" s="327"/>
      <c r="IA66" s="328"/>
      <c r="IB66" s="329"/>
      <c r="IC66" s="329"/>
      <c r="ID66" s="330"/>
      <c r="IE66" s="331"/>
      <c r="IF66" s="332"/>
      <c r="IG66" s="333"/>
      <c r="IH66" s="332"/>
      <c r="II66" s="334"/>
      <c r="IJ66" s="335"/>
      <c r="IK66" s="332"/>
      <c r="IL66" s="333"/>
      <c r="IM66" s="332"/>
      <c r="IN66" s="336"/>
      <c r="IO66" s="329"/>
      <c r="IP66" s="327"/>
      <c r="IQ66" s="328"/>
      <c r="IR66" s="329"/>
      <c r="IS66" s="329"/>
      <c r="IT66" s="330"/>
      <c r="IU66" s="331"/>
      <c r="IV66" s="332"/>
      <c r="IW66" s="333"/>
      <c r="IX66" s="332"/>
    </row>
    <row r="67" spans="1:258" s="325" customFormat="1" ht="15.75" x14ac:dyDescent="0.2">
      <c r="A67" s="113">
        <v>1</v>
      </c>
      <c r="B67" s="113" t="s">
        <v>225</v>
      </c>
      <c r="C67" s="345" t="s">
        <v>0</v>
      </c>
      <c r="D67" s="117" t="s">
        <v>462</v>
      </c>
      <c r="E67" s="154" t="s">
        <v>2</v>
      </c>
      <c r="F67" s="193"/>
      <c r="G67" s="225"/>
      <c r="H67" s="323">
        <f t="shared" ref="H67:H75" si="78">$A67-F67-G67</f>
        <v>1</v>
      </c>
      <c r="I67" s="193"/>
      <c r="J67" s="225"/>
      <c r="K67" s="323">
        <f t="shared" ref="K67:K75" si="79">$A67-I67-J67</f>
        <v>1</v>
      </c>
      <c r="L67" s="193"/>
      <c r="M67" s="225"/>
      <c r="N67" s="323">
        <f t="shared" ref="N67:N75" si="80">$A67-L67-M67</f>
        <v>1</v>
      </c>
      <c r="O67" s="193"/>
      <c r="P67" s="225"/>
      <c r="Q67" s="323">
        <f t="shared" ref="Q67:Q75" si="81">$A67-O67-P67</f>
        <v>1</v>
      </c>
      <c r="R67" s="193"/>
      <c r="S67" s="225"/>
      <c r="T67" s="323">
        <f t="shared" ref="T67:T75" si="82">$A67-R67-S67</f>
        <v>1</v>
      </c>
      <c r="U67" s="344"/>
      <c r="V67" s="415" t="s">
        <v>7</v>
      </c>
      <c r="W67" s="324">
        <f t="shared" ref="W67:W75" si="83">INDEX($S$1:$V$10, MATCH(V67,$S$1:$S$10,), MATCH("Initials",$S$1:$V$1,))</f>
        <v>0</v>
      </c>
      <c r="X67" s="317" t="str">
        <f t="shared" ref="X67" si="84">IF(C67="Yes","Yes1","Zero1")</f>
        <v>Yes1</v>
      </c>
      <c r="AI67" s="325">
        <f t="shared" ref="AI67" si="85">IF(AND(F67&gt;0,C67="No"),"ERROR",0)</f>
        <v>0</v>
      </c>
      <c r="AJ67" s="325">
        <f t="shared" ref="AJ67" si="86">IF(AND(I67&gt;0,$C67="No"),"ERROR",0)</f>
        <v>0</v>
      </c>
      <c r="AK67" s="325">
        <f t="shared" ref="AK67" si="87">IF(AND(L67&gt;0,$C67="No"),"ERROR",0)</f>
        <v>0</v>
      </c>
      <c r="AL67" s="325">
        <f t="shared" ref="AL67" si="88">IF(AND(O67&gt;0,$C67="No"),"ERROR",0)</f>
        <v>0</v>
      </c>
      <c r="AM67" s="325">
        <f t="shared" ref="AM67" si="89">IF(AND(R67&gt;0,$C67="No"),"ERROR",0)</f>
        <v>0</v>
      </c>
      <c r="AO67" s="325">
        <f>IF(AND(AP67+AQ67+AR67+AS67+AT67&gt;0,E67="Required",C67="Yes"),1,0)</f>
        <v>0</v>
      </c>
      <c r="AP67" s="325">
        <f>IF(AND($D$7="Programming",F67="",E67="Required",C67="Yes"),1,0)</f>
        <v>0</v>
      </c>
      <c r="AQ67" s="325">
        <f>IF(AND($D$7="Schematic Design",I67="",E67="Required",C67="Yes"),1,0)</f>
        <v>0</v>
      </c>
      <c r="AR67" s="325">
        <f>IF(AND($D$7="Detailed Design",L67="",E67="Required",C67="Yes"),1,0)</f>
        <v>0</v>
      </c>
      <c r="AS67" s="325">
        <f>IF(AND($D$7="Construction Documentation",O67="",E67="Required",C67="Yes"),1,0)</f>
        <v>0</v>
      </c>
      <c r="AT67" s="325">
        <f>IF(AND($D$7="Closeout",R67="",E67="Required",C67="Yes"),1,0)</f>
        <v>0</v>
      </c>
      <c r="AY67" s="325">
        <f t="shared" si="15"/>
        <v>1</v>
      </c>
      <c r="AZ67" s="325">
        <f t="shared" si="16"/>
        <v>0</v>
      </c>
      <c r="BA67" s="325">
        <f t="shared" si="17"/>
        <v>0</v>
      </c>
      <c r="BB67" s="325">
        <f t="shared" si="18"/>
        <v>0</v>
      </c>
      <c r="BC67" s="325">
        <f t="shared" si="19"/>
        <v>0</v>
      </c>
      <c r="BD67" s="325">
        <f t="shared" si="20"/>
        <v>0</v>
      </c>
    </row>
    <row r="68" spans="1:258" s="325" customFormat="1" ht="15.75" x14ac:dyDescent="0.2">
      <c r="A68" s="113">
        <v>3</v>
      </c>
      <c r="B68" s="113" t="s">
        <v>226</v>
      </c>
      <c r="C68" s="345" t="s">
        <v>0</v>
      </c>
      <c r="D68" s="117" t="s">
        <v>293</v>
      </c>
      <c r="E68" s="154" t="s">
        <v>351</v>
      </c>
      <c r="F68" s="193"/>
      <c r="G68" s="225"/>
      <c r="H68" s="323">
        <f t="shared" si="78"/>
        <v>3</v>
      </c>
      <c r="I68" s="193"/>
      <c r="J68" s="225"/>
      <c r="K68" s="323">
        <f t="shared" si="79"/>
        <v>3</v>
      </c>
      <c r="L68" s="193"/>
      <c r="M68" s="225"/>
      <c r="N68" s="323">
        <f t="shared" si="80"/>
        <v>3</v>
      </c>
      <c r="O68" s="193"/>
      <c r="P68" s="225"/>
      <c r="Q68" s="323">
        <f t="shared" si="81"/>
        <v>3</v>
      </c>
      <c r="R68" s="193"/>
      <c r="S68" s="225"/>
      <c r="T68" s="323">
        <f t="shared" si="82"/>
        <v>3</v>
      </c>
      <c r="U68" s="344"/>
      <c r="V68" s="415" t="s">
        <v>11</v>
      </c>
      <c r="W68" s="324">
        <f t="shared" si="83"/>
        <v>0</v>
      </c>
      <c r="X68" s="317" t="str">
        <f>IF(C68="Yes","Yes3","Zero3")</f>
        <v>Yes3</v>
      </c>
      <c r="AA68" s="325">
        <v>1</v>
      </c>
      <c r="AB68" s="325">
        <v>2</v>
      </c>
      <c r="AC68" s="325">
        <v>3</v>
      </c>
      <c r="AI68" s="325">
        <f t="shared" ref="AI68:AI75" si="90">IF(AND(F68&gt;0,C68="No"),"ERROR",0)</f>
        <v>0</v>
      </c>
      <c r="AJ68" s="325">
        <f t="shared" ref="AJ68:AJ75" si="91">IF(AND(I68&gt;0,$C68="No"),"ERROR",0)</f>
        <v>0</v>
      </c>
      <c r="AK68" s="325">
        <f t="shared" ref="AK68:AK75" si="92">IF(AND(L68&gt;0,$C68="No"),"ERROR",0)</f>
        <v>0</v>
      </c>
      <c r="AL68" s="325">
        <f t="shared" ref="AL68:AL75" si="93">IF(AND(O68&gt;0,$C68="No"),"ERROR",0)</f>
        <v>0</v>
      </c>
      <c r="AM68" s="325">
        <f t="shared" ref="AM68:AM75" si="94">IF(AND(R68&gt;0,$C68="No"),"ERROR",0)</f>
        <v>0</v>
      </c>
      <c r="AY68" s="325">
        <f t="shared" si="15"/>
        <v>0</v>
      </c>
      <c r="AZ68" s="325">
        <f t="shared" si="16"/>
        <v>0</v>
      </c>
      <c r="BA68" s="325">
        <f t="shared" si="17"/>
        <v>0</v>
      </c>
      <c r="BB68" s="325">
        <f t="shared" si="18"/>
        <v>0</v>
      </c>
      <c r="BC68" s="325">
        <f t="shared" si="19"/>
        <v>0</v>
      </c>
      <c r="BD68" s="325">
        <f t="shared" si="20"/>
        <v>0</v>
      </c>
    </row>
    <row r="69" spans="1:258" s="325" customFormat="1" ht="15.75" x14ac:dyDescent="0.2">
      <c r="A69" s="113">
        <v>1</v>
      </c>
      <c r="B69" s="113" t="s">
        <v>227</v>
      </c>
      <c r="C69" s="345" t="s">
        <v>0</v>
      </c>
      <c r="D69" s="117" t="s">
        <v>173</v>
      </c>
      <c r="E69" s="154" t="s">
        <v>2</v>
      </c>
      <c r="F69" s="193"/>
      <c r="G69" s="225"/>
      <c r="H69" s="323">
        <f t="shared" si="78"/>
        <v>1</v>
      </c>
      <c r="I69" s="193"/>
      <c r="J69" s="225"/>
      <c r="K69" s="323">
        <f t="shared" si="79"/>
        <v>1</v>
      </c>
      <c r="L69" s="193"/>
      <c r="M69" s="225"/>
      <c r="N69" s="323">
        <f t="shared" si="80"/>
        <v>1</v>
      </c>
      <c r="O69" s="193"/>
      <c r="P69" s="225"/>
      <c r="Q69" s="323">
        <f t="shared" si="81"/>
        <v>1</v>
      </c>
      <c r="R69" s="193"/>
      <c r="S69" s="225"/>
      <c r="T69" s="323">
        <f t="shared" si="82"/>
        <v>1</v>
      </c>
      <c r="U69" s="344"/>
      <c r="V69" s="416" t="s">
        <v>196</v>
      </c>
      <c r="W69" s="324">
        <f t="shared" si="83"/>
        <v>0</v>
      </c>
      <c r="X69" s="317" t="str">
        <f t="shared" ref="X69:X70" si="95">IF(C69="Yes","Yes1","Zero1")</f>
        <v>Yes1</v>
      </c>
      <c r="AI69" s="325">
        <f t="shared" si="90"/>
        <v>0</v>
      </c>
      <c r="AJ69" s="325">
        <f t="shared" si="91"/>
        <v>0</v>
      </c>
      <c r="AK69" s="325">
        <f t="shared" si="92"/>
        <v>0</v>
      </c>
      <c r="AL69" s="325">
        <f t="shared" si="93"/>
        <v>0</v>
      </c>
      <c r="AM69" s="325">
        <f t="shared" si="94"/>
        <v>0</v>
      </c>
      <c r="AO69" s="325">
        <f>IF(AND(AP69+AQ69+AR69+AS69+AT69&gt;0,E69="Required",C69="Yes"),1,0)</f>
        <v>0</v>
      </c>
      <c r="AP69" s="325">
        <f>IF(AND($D$7="Programming",F69="",E69="Required",C69="Yes"),1,0)</f>
        <v>0</v>
      </c>
      <c r="AQ69" s="325">
        <f>IF(AND($D$7="Schematic Design",I69="",E69="Required",C69="Yes"),1,0)</f>
        <v>0</v>
      </c>
      <c r="AR69" s="325">
        <f>IF(AND($D$7="Detailed Design",L69="",E69="Required",C69="Yes"),1,0)</f>
        <v>0</v>
      </c>
      <c r="AS69" s="325">
        <f>IF(AND($D$7="Construction Documentation",O69="",E69="Required",C69="Yes"),1,0)</f>
        <v>0</v>
      </c>
      <c r="AT69" s="325">
        <f>IF(AND($D$7="Closeout",R69="",E69="Required",C69="Yes"),1,0)</f>
        <v>0</v>
      </c>
      <c r="AY69" s="325">
        <f t="shared" si="15"/>
        <v>1</v>
      </c>
      <c r="AZ69" s="325">
        <f t="shared" si="16"/>
        <v>0</v>
      </c>
      <c r="BA69" s="325">
        <f t="shared" si="17"/>
        <v>0</v>
      </c>
      <c r="BB69" s="325">
        <f t="shared" si="18"/>
        <v>0</v>
      </c>
      <c r="BC69" s="325">
        <f t="shared" si="19"/>
        <v>0</v>
      </c>
      <c r="BD69" s="325">
        <f t="shared" si="20"/>
        <v>0</v>
      </c>
    </row>
    <row r="70" spans="1:258" s="325" customFormat="1" ht="15.75" x14ac:dyDescent="0.2">
      <c r="A70" s="113">
        <v>1</v>
      </c>
      <c r="B70" s="113" t="s">
        <v>228</v>
      </c>
      <c r="C70" s="345" t="s">
        <v>0</v>
      </c>
      <c r="D70" s="117" t="s">
        <v>287</v>
      </c>
      <c r="E70" s="154" t="s">
        <v>352</v>
      </c>
      <c r="F70" s="193"/>
      <c r="G70" s="225"/>
      <c r="H70" s="323">
        <f t="shared" si="78"/>
        <v>1</v>
      </c>
      <c r="I70" s="193"/>
      <c r="J70" s="225"/>
      <c r="K70" s="323">
        <f t="shared" si="79"/>
        <v>1</v>
      </c>
      <c r="L70" s="193"/>
      <c r="M70" s="225"/>
      <c r="N70" s="323">
        <f t="shared" si="80"/>
        <v>1</v>
      </c>
      <c r="O70" s="193"/>
      <c r="P70" s="225"/>
      <c r="Q70" s="323">
        <f t="shared" si="81"/>
        <v>1</v>
      </c>
      <c r="R70" s="193"/>
      <c r="S70" s="225"/>
      <c r="T70" s="323">
        <f t="shared" si="82"/>
        <v>1</v>
      </c>
      <c r="U70" s="344"/>
      <c r="V70" s="416" t="s">
        <v>196</v>
      </c>
      <c r="W70" s="324">
        <f t="shared" si="83"/>
        <v>0</v>
      </c>
      <c r="X70" s="317" t="str">
        <f t="shared" si="95"/>
        <v>Yes1</v>
      </c>
      <c r="AI70" s="325">
        <f t="shared" si="90"/>
        <v>0</v>
      </c>
      <c r="AJ70" s="325">
        <f t="shared" si="91"/>
        <v>0</v>
      </c>
      <c r="AK70" s="325">
        <f t="shared" si="92"/>
        <v>0</v>
      </c>
      <c r="AL70" s="325">
        <f t="shared" si="93"/>
        <v>0</v>
      </c>
      <c r="AM70" s="325">
        <f t="shared" si="94"/>
        <v>0</v>
      </c>
      <c r="AY70" s="325">
        <f t="shared" si="15"/>
        <v>0</v>
      </c>
      <c r="AZ70" s="325">
        <f t="shared" si="16"/>
        <v>0</v>
      </c>
      <c r="BA70" s="325">
        <f t="shared" si="17"/>
        <v>0</v>
      </c>
      <c r="BB70" s="325">
        <f t="shared" si="18"/>
        <v>0</v>
      </c>
      <c r="BC70" s="325">
        <f t="shared" si="19"/>
        <v>0</v>
      </c>
      <c r="BD70" s="325">
        <f t="shared" si="20"/>
        <v>0</v>
      </c>
    </row>
    <row r="71" spans="1:258" s="325" customFormat="1" ht="38.25" x14ac:dyDescent="0.2">
      <c r="A71" s="113">
        <v>3</v>
      </c>
      <c r="B71" s="113" t="s">
        <v>229</v>
      </c>
      <c r="C71" s="345" t="s">
        <v>0</v>
      </c>
      <c r="D71" s="169" t="s">
        <v>277</v>
      </c>
      <c r="E71" s="154" t="s">
        <v>351</v>
      </c>
      <c r="F71" s="193"/>
      <c r="G71" s="225"/>
      <c r="H71" s="323">
        <f t="shared" si="78"/>
        <v>3</v>
      </c>
      <c r="I71" s="193"/>
      <c r="J71" s="225"/>
      <c r="K71" s="323">
        <f t="shared" si="79"/>
        <v>3</v>
      </c>
      <c r="L71" s="193"/>
      <c r="M71" s="225"/>
      <c r="N71" s="323">
        <f t="shared" si="80"/>
        <v>3</v>
      </c>
      <c r="O71" s="193"/>
      <c r="P71" s="225"/>
      <c r="Q71" s="323">
        <f t="shared" si="81"/>
        <v>3</v>
      </c>
      <c r="R71" s="193"/>
      <c r="S71" s="225"/>
      <c r="T71" s="323">
        <f t="shared" si="82"/>
        <v>3</v>
      </c>
      <c r="U71" s="344"/>
      <c r="V71" s="416" t="s">
        <v>196</v>
      </c>
      <c r="W71" s="324">
        <f t="shared" si="83"/>
        <v>0</v>
      </c>
      <c r="X71" s="317" t="str">
        <f>IF(C71="Yes","Yes3Only","Zero3")</f>
        <v>Yes3Only</v>
      </c>
      <c r="AI71" s="325">
        <f t="shared" si="90"/>
        <v>0</v>
      </c>
      <c r="AJ71" s="325">
        <f t="shared" si="91"/>
        <v>0</v>
      </c>
      <c r="AK71" s="325">
        <f t="shared" si="92"/>
        <v>0</v>
      </c>
      <c r="AL71" s="325">
        <f t="shared" si="93"/>
        <v>0</v>
      </c>
      <c r="AM71" s="325">
        <f t="shared" si="94"/>
        <v>0</v>
      </c>
      <c r="AY71" s="325">
        <f t="shared" si="15"/>
        <v>0</v>
      </c>
      <c r="AZ71" s="325">
        <f t="shared" si="16"/>
        <v>0</v>
      </c>
      <c r="BA71" s="325">
        <f t="shared" si="17"/>
        <v>0</v>
      </c>
      <c r="BB71" s="325">
        <f t="shared" si="18"/>
        <v>0</v>
      </c>
      <c r="BC71" s="325">
        <f t="shared" si="19"/>
        <v>0</v>
      </c>
      <c r="BD71" s="325">
        <f t="shared" si="20"/>
        <v>0</v>
      </c>
    </row>
    <row r="72" spans="1:258" s="325" customFormat="1" ht="38.25" x14ac:dyDescent="0.2">
      <c r="A72" s="113">
        <v>3</v>
      </c>
      <c r="B72" s="113" t="s">
        <v>230</v>
      </c>
      <c r="C72" s="345" t="s">
        <v>0</v>
      </c>
      <c r="D72" s="169" t="s">
        <v>296</v>
      </c>
      <c r="E72" s="154" t="s">
        <v>351</v>
      </c>
      <c r="F72" s="193"/>
      <c r="G72" s="225"/>
      <c r="H72" s="323">
        <f t="shared" si="78"/>
        <v>3</v>
      </c>
      <c r="I72" s="193"/>
      <c r="J72" s="225"/>
      <c r="K72" s="323">
        <f t="shared" si="79"/>
        <v>3</v>
      </c>
      <c r="L72" s="193"/>
      <c r="M72" s="225"/>
      <c r="N72" s="323">
        <f t="shared" si="80"/>
        <v>3</v>
      </c>
      <c r="O72" s="193"/>
      <c r="P72" s="225"/>
      <c r="Q72" s="323">
        <f t="shared" si="81"/>
        <v>3</v>
      </c>
      <c r="R72" s="193"/>
      <c r="S72" s="225"/>
      <c r="T72" s="323">
        <f t="shared" si="82"/>
        <v>3</v>
      </c>
      <c r="U72" s="344"/>
      <c r="V72" s="416" t="s">
        <v>196</v>
      </c>
      <c r="W72" s="324">
        <f t="shared" si="83"/>
        <v>0</v>
      </c>
      <c r="X72" s="317" t="str">
        <f>IF(C72="Yes","Yes3Only","Zero3")</f>
        <v>Yes3Only</v>
      </c>
      <c r="AI72" s="325">
        <f t="shared" si="90"/>
        <v>0</v>
      </c>
      <c r="AJ72" s="325">
        <f t="shared" si="91"/>
        <v>0</v>
      </c>
      <c r="AK72" s="325">
        <f t="shared" si="92"/>
        <v>0</v>
      </c>
      <c r="AL72" s="325">
        <f t="shared" si="93"/>
        <v>0</v>
      </c>
      <c r="AM72" s="325">
        <f t="shared" si="94"/>
        <v>0</v>
      </c>
      <c r="AY72" s="325">
        <f t="shared" si="15"/>
        <v>0</v>
      </c>
      <c r="AZ72" s="325">
        <f t="shared" si="16"/>
        <v>0</v>
      </c>
      <c r="BA72" s="325">
        <f t="shared" si="17"/>
        <v>0</v>
      </c>
      <c r="BB72" s="325">
        <f t="shared" si="18"/>
        <v>0</v>
      </c>
      <c r="BC72" s="325">
        <f t="shared" si="19"/>
        <v>0</v>
      </c>
      <c r="BD72" s="325">
        <f t="shared" si="20"/>
        <v>0</v>
      </c>
    </row>
    <row r="73" spans="1:258" s="325" customFormat="1" ht="15.75" x14ac:dyDescent="0.2">
      <c r="A73" s="113">
        <v>1</v>
      </c>
      <c r="B73" s="113" t="s">
        <v>231</v>
      </c>
      <c r="C73" s="345" t="s">
        <v>0</v>
      </c>
      <c r="D73" s="169" t="s">
        <v>278</v>
      </c>
      <c r="E73" s="154" t="s">
        <v>352</v>
      </c>
      <c r="F73" s="193"/>
      <c r="G73" s="225"/>
      <c r="H73" s="323">
        <f t="shared" si="78"/>
        <v>1</v>
      </c>
      <c r="I73" s="193"/>
      <c r="J73" s="225"/>
      <c r="K73" s="323">
        <f t="shared" si="79"/>
        <v>1</v>
      </c>
      <c r="L73" s="193"/>
      <c r="M73" s="225"/>
      <c r="N73" s="323">
        <f t="shared" si="80"/>
        <v>1</v>
      </c>
      <c r="O73" s="193"/>
      <c r="P73" s="225"/>
      <c r="Q73" s="323">
        <f t="shared" si="81"/>
        <v>1</v>
      </c>
      <c r="R73" s="193"/>
      <c r="S73" s="225"/>
      <c r="T73" s="323">
        <f t="shared" si="82"/>
        <v>1</v>
      </c>
      <c r="U73" s="344"/>
      <c r="V73" s="416" t="s">
        <v>196</v>
      </c>
      <c r="W73" s="324">
        <f t="shared" si="83"/>
        <v>0</v>
      </c>
      <c r="X73" s="317" t="str">
        <f t="shared" ref="X73:X75" si="96">IF(C73="Yes","Yes1","Zero1")</f>
        <v>Yes1</v>
      </c>
      <c r="AI73" s="325">
        <f t="shared" si="90"/>
        <v>0</v>
      </c>
      <c r="AJ73" s="325">
        <f t="shared" si="91"/>
        <v>0</v>
      </c>
      <c r="AK73" s="325">
        <f t="shared" si="92"/>
        <v>0</v>
      </c>
      <c r="AL73" s="325">
        <f t="shared" si="93"/>
        <v>0</v>
      </c>
      <c r="AM73" s="325">
        <f t="shared" si="94"/>
        <v>0</v>
      </c>
      <c r="AY73" s="325">
        <f t="shared" si="15"/>
        <v>0</v>
      </c>
      <c r="AZ73" s="325">
        <f t="shared" si="16"/>
        <v>0</v>
      </c>
      <c r="BA73" s="325">
        <f t="shared" si="17"/>
        <v>0</v>
      </c>
      <c r="BB73" s="325">
        <f t="shared" si="18"/>
        <v>0</v>
      </c>
      <c r="BC73" s="325">
        <f t="shared" si="19"/>
        <v>0</v>
      </c>
      <c r="BD73" s="325">
        <f t="shared" si="20"/>
        <v>0</v>
      </c>
    </row>
    <row r="74" spans="1:258" s="325" customFormat="1" ht="15.75" x14ac:dyDescent="0.2">
      <c r="A74" s="113">
        <v>1</v>
      </c>
      <c r="B74" s="113" t="s">
        <v>232</v>
      </c>
      <c r="C74" s="345" t="s">
        <v>0</v>
      </c>
      <c r="D74" s="169" t="s">
        <v>174</v>
      </c>
      <c r="E74" s="154" t="s">
        <v>352</v>
      </c>
      <c r="F74" s="193"/>
      <c r="G74" s="225"/>
      <c r="H74" s="323">
        <f t="shared" si="78"/>
        <v>1</v>
      </c>
      <c r="I74" s="193"/>
      <c r="J74" s="225"/>
      <c r="K74" s="323">
        <f t="shared" si="79"/>
        <v>1</v>
      </c>
      <c r="L74" s="193"/>
      <c r="M74" s="225"/>
      <c r="N74" s="323">
        <f t="shared" si="80"/>
        <v>1</v>
      </c>
      <c r="O74" s="193"/>
      <c r="P74" s="225"/>
      <c r="Q74" s="323">
        <f t="shared" si="81"/>
        <v>1</v>
      </c>
      <c r="R74" s="193"/>
      <c r="S74" s="225"/>
      <c r="T74" s="323">
        <f t="shared" si="82"/>
        <v>1</v>
      </c>
      <c r="U74" s="344"/>
      <c r="V74" s="416" t="s">
        <v>196</v>
      </c>
      <c r="W74" s="324">
        <f t="shared" si="83"/>
        <v>0</v>
      </c>
      <c r="X74" s="317" t="str">
        <f t="shared" si="96"/>
        <v>Yes1</v>
      </c>
      <c r="AI74" s="325">
        <f t="shared" si="90"/>
        <v>0</v>
      </c>
      <c r="AJ74" s="325">
        <f t="shared" si="91"/>
        <v>0</v>
      </c>
      <c r="AK74" s="325">
        <f t="shared" si="92"/>
        <v>0</v>
      </c>
      <c r="AL74" s="325">
        <f t="shared" si="93"/>
        <v>0</v>
      </c>
      <c r="AM74" s="325">
        <f t="shared" si="94"/>
        <v>0</v>
      </c>
      <c r="AY74" s="325">
        <f t="shared" si="15"/>
        <v>0</v>
      </c>
      <c r="AZ74" s="325">
        <f t="shared" si="16"/>
        <v>0</v>
      </c>
      <c r="BA74" s="325">
        <f t="shared" si="17"/>
        <v>0</v>
      </c>
      <c r="BB74" s="325">
        <f t="shared" si="18"/>
        <v>0</v>
      </c>
      <c r="BC74" s="325">
        <f t="shared" si="19"/>
        <v>0</v>
      </c>
      <c r="BD74" s="325">
        <f t="shared" si="20"/>
        <v>0</v>
      </c>
    </row>
    <row r="75" spans="1:258" s="325" customFormat="1" ht="15.75" x14ac:dyDescent="0.2">
      <c r="A75" s="113">
        <v>1</v>
      </c>
      <c r="B75" s="113" t="s">
        <v>233</v>
      </c>
      <c r="C75" s="345" t="s">
        <v>0</v>
      </c>
      <c r="D75" s="169" t="s">
        <v>175</v>
      </c>
      <c r="E75" s="154" t="s">
        <v>352</v>
      </c>
      <c r="F75" s="193"/>
      <c r="G75" s="225"/>
      <c r="H75" s="323">
        <f t="shared" si="78"/>
        <v>1</v>
      </c>
      <c r="I75" s="193"/>
      <c r="J75" s="225"/>
      <c r="K75" s="323">
        <f t="shared" si="79"/>
        <v>1</v>
      </c>
      <c r="L75" s="193"/>
      <c r="M75" s="225"/>
      <c r="N75" s="323">
        <f t="shared" si="80"/>
        <v>1</v>
      </c>
      <c r="O75" s="193"/>
      <c r="P75" s="225"/>
      <c r="Q75" s="323">
        <f t="shared" si="81"/>
        <v>1</v>
      </c>
      <c r="R75" s="193"/>
      <c r="S75" s="225"/>
      <c r="T75" s="323">
        <f t="shared" si="82"/>
        <v>1</v>
      </c>
      <c r="U75" s="344"/>
      <c r="V75" s="416" t="s">
        <v>196</v>
      </c>
      <c r="W75" s="324">
        <f t="shared" si="83"/>
        <v>0</v>
      </c>
      <c r="X75" s="317" t="str">
        <f t="shared" si="96"/>
        <v>Yes1</v>
      </c>
      <c r="AI75" s="325">
        <f t="shared" si="90"/>
        <v>0</v>
      </c>
      <c r="AJ75" s="325">
        <f t="shared" si="91"/>
        <v>0</v>
      </c>
      <c r="AK75" s="325">
        <f t="shared" si="92"/>
        <v>0</v>
      </c>
      <c r="AL75" s="325">
        <f t="shared" si="93"/>
        <v>0</v>
      </c>
      <c r="AM75" s="325">
        <f t="shared" si="94"/>
        <v>0</v>
      </c>
      <c r="AY75" s="325">
        <f t="shared" si="15"/>
        <v>0</v>
      </c>
      <c r="AZ75" s="325">
        <f t="shared" si="16"/>
        <v>0</v>
      </c>
      <c r="BA75" s="325">
        <f t="shared" si="17"/>
        <v>0</v>
      </c>
      <c r="BB75" s="325">
        <f t="shared" si="18"/>
        <v>0</v>
      </c>
      <c r="BC75" s="325">
        <f t="shared" si="19"/>
        <v>0</v>
      </c>
      <c r="BD75" s="325">
        <f t="shared" si="20"/>
        <v>0</v>
      </c>
    </row>
    <row r="76" spans="1:258" ht="39.950000000000003" customHeight="1" x14ac:dyDescent="0.2">
      <c r="A76" s="130" t="s">
        <v>176</v>
      </c>
      <c r="B76" s="131"/>
      <c r="C76" s="130"/>
      <c r="D76" s="132" t="s">
        <v>134</v>
      </c>
      <c r="E76" s="158" t="s">
        <v>271</v>
      </c>
      <c r="F76" s="178">
        <f t="shared" ref="F76:S76" si="97">SUM(F78:F96)</f>
        <v>0</v>
      </c>
      <c r="G76" s="223">
        <f t="shared" si="97"/>
        <v>0</v>
      </c>
      <c r="H76" s="172">
        <f t="shared" si="97"/>
        <v>19</v>
      </c>
      <c r="I76" s="178">
        <f t="shared" si="97"/>
        <v>0</v>
      </c>
      <c r="J76" s="223">
        <f t="shared" si="97"/>
        <v>0</v>
      </c>
      <c r="K76" s="172">
        <f t="shared" ref="K76" si="98">SUM(K78:K96)</f>
        <v>19</v>
      </c>
      <c r="L76" s="178">
        <f>SUM(L78:L96)</f>
        <v>0</v>
      </c>
      <c r="M76" s="223">
        <f>SUM(M78:M96)</f>
        <v>0</v>
      </c>
      <c r="N76" s="172">
        <f t="shared" ref="N76" si="99">SUM(N78:N96)</f>
        <v>19</v>
      </c>
      <c r="O76" s="178">
        <f t="shared" si="97"/>
        <v>0</v>
      </c>
      <c r="P76" s="223">
        <f t="shared" si="97"/>
        <v>0</v>
      </c>
      <c r="Q76" s="172">
        <f t="shared" ref="Q76" si="100">SUM(Q78:Q96)</f>
        <v>19</v>
      </c>
      <c r="R76" s="178">
        <f t="shared" si="97"/>
        <v>0</v>
      </c>
      <c r="S76" s="223">
        <f t="shared" si="97"/>
        <v>0</v>
      </c>
      <c r="T76" s="172">
        <f t="shared" ref="T76" si="101">SUM(T78:T96)</f>
        <v>19</v>
      </c>
      <c r="U76" s="188"/>
      <c r="V76" s="749" t="s">
        <v>201</v>
      </c>
      <c r="W76" s="750"/>
      <c r="X76" s="125"/>
      <c r="AY76" s="325">
        <f t="shared" si="15"/>
        <v>0</v>
      </c>
      <c r="AZ76" s="325">
        <f t="shared" si="16"/>
        <v>0</v>
      </c>
      <c r="BA76" s="325">
        <f t="shared" si="17"/>
        <v>0</v>
      </c>
      <c r="BB76" s="325">
        <f t="shared" si="18"/>
        <v>0</v>
      </c>
      <c r="BC76" s="325">
        <f t="shared" si="19"/>
        <v>0</v>
      </c>
      <c r="BD76" s="325">
        <f t="shared" si="20"/>
        <v>0</v>
      </c>
    </row>
    <row r="77" spans="1:258" ht="66.75" x14ac:dyDescent="0.2">
      <c r="A77" s="111" t="s">
        <v>350</v>
      </c>
      <c r="B77" s="111" t="s">
        <v>139</v>
      </c>
      <c r="C77" s="111" t="s">
        <v>326</v>
      </c>
      <c r="D77" s="112" t="s">
        <v>3</v>
      </c>
      <c r="E77" s="153" t="s">
        <v>300</v>
      </c>
      <c r="F77" s="179" t="s">
        <v>0</v>
      </c>
      <c r="G77" s="224" t="s">
        <v>12</v>
      </c>
      <c r="H77" s="173" t="s">
        <v>1</v>
      </c>
      <c r="I77" s="179" t="s">
        <v>0</v>
      </c>
      <c r="J77" s="224" t="s">
        <v>12</v>
      </c>
      <c r="K77" s="173" t="s">
        <v>1</v>
      </c>
      <c r="L77" s="179" t="s">
        <v>0</v>
      </c>
      <c r="M77" s="224" t="s">
        <v>12</v>
      </c>
      <c r="N77" s="173" t="s">
        <v>1</v>
      </c>
      <c r="O77" s="179" t="s">
        <v>0</v>
      </c>
      <c r="P77" s="224" t="s">
        <v>12</v>
      </c>
      <c r="Q77" s="173" t="s">
        <v>1</v>
      </c>
      <c r="R77" s="179" t="s">
        <v>0</v>
      </c>
      <c r="S77" s="224" t="s">
        <v>12</v>
      </c>
      <c r="T77" s="173" t="s">
        <v>1</v>
      </c>
      <c r="U77" s="184" t="s">
        <v>788</v>
      </c>
      <c r="V77" s="114" t="s">
        <v>264</v>
      </c>
      <c r="W77" s="115" t="s">
        <v>114</v>
      </c>
      <c r="X77" s="317"/>
      <c r="Y77" s="327"/>
      <c r="Z77" s="328"/>
      <c r="AA77" s="329"/>
      <c r="AB77" s="329"/>
      <c r="AC77" s="330"/>
      <c r="AE77" s="332"/>
      <c r="AF77" s="333"/>
      <c r="AG77" s="332"/>
      <c r="AH77" s="334"/>
      <c r="AI77" s="335"/>
      <c r="AJ77" s="332"/>
      <c r="AK77" s="333"/>
      <c r="AL77" s="332"/>
      <c r="AM77" s="336"/>
      <c r="AN77" s="329"/>
      <c r="AO77" s="329"/>
      <c r="AP77" s="327"/>
      <c r="AQ77" s="328"/>
      <c r="AR77" s="329"/>
      <c r="AS77" s="329"/>
      <c r="AT77" s="330"/>
      <c r="AU77" s="331"/>
      <c r="AV77" s="332"/>
      <c r="AW77" s="333"/>
      <c r="AX77" s="332"/>
      <c r="AY77" s="325">
        <f t="shared" si="15"/>
        <v>0</v>
      </c>
      <c r="AZ77" s="325">
        <f t="shared" si="16"/>
        <v>0</v>
      </c>
      <c r="BA77" s="325">
        <f t="shared" si="17"/>
        <v>0</v>
      </c>
      <c r="BB77" s="325">
        <f t="shared" si="18"/>
        <v>0</v>
      </c>
      <c r="BC77" s="325">
        <f t="shared" si="19"/>
        <v>0</v>
      </c>
      <c r="BD77" s="325">
        <f t="shared" si="20"/>
        <v>0</v>
      </c>
      <c r="BE77" s="329"/>
      <c r="BF77" s="327"/>
      <c r="BG77" s="328"/>
      <c r="BH77" s="329"/>
      <c r="BI77" s="329"/>
      <c r="BJ77" s="330"/>
      <c r="BK77" s="331"/>
      <c r="BL77" s="332"/>
      <c r="BM77" s="333"/>
      <c r="BN77" s="332"/>
      <c r="BO77" s="334"/>
      <c r="BP77" s="335"/>
      <c r="BQ77" s="332"/>
      <c r="BR77" s="333"/>
      <c r="BS77" s="332"/>
      <c r="BT77" s="336"/>
      <c r="BU77" s="329"/>
      <c r="BV77" s="327"/>
      <c r="BW77" s="328"/>
      <c r="BX77" s="329"/>
      <c r="BY77" s="329"/>
      <c r="BZ77" s="330"/>
      <c r="CA77" s="331"/>
      <c r="CB77" s="332"/>
      <c r="CC77" s="333"/>
      <c r="CD77" s="332"/>
      <c r="CE77" s="334"/>
      <c r="CF77" s="335"/>
      <c r="CG77" s="332"/>
      <c r="CH77" s="333"/>
      <c r="CI77" s="332"/>
      <c r="CJ77" s="336"/>
      <c r="CK77" s="329"/>
      <c r="CL77" s="327"/>
      <c r="CM77" s="328"/>
      <c r="CN77" s="329"/>
      <c r="CO77" s="329"/>
      <c r="CP77" s="330"/>
      <c r="CQ77" s="331"/>
      <c r="CR77" s="332"/>
      <c r="CS77" s="333"/>
      <c r="CT77" s="332"/>
      <c r="CU77" s="334"/>
      <c r="CV77" s="335"/>
      <c r="CW77" s="332"/>
      <c r="CX77" s="333"/>
      <c r="CY77" s="332"/>
      <c r="CZ77" s="336"/>
      <c r="DA77" s="329"/>
      <c r="DB77" s="327"/>
      <c r="DC77" s="328"/>
      <c r="DD77" s="329"/>
      <c r="DE77" s="329"/>
      <c r="DF77" s="330"/>
      <c r="DG77" s="331"/>
      <c r="DH77" s="332"/>
      <c r="DI77" s="333"/>
      <c r="DJ77" s="332"/>
      <c r="DK77" s="334"/>
      <c r="DL77" s="335"/>
      <c r="DM77" s="332"/>
      <c r="DN77" s="333"/>
      <c r="DO77" s="332"/>
      <c r="DP77" s="336"/>
      <c r="DQ77" s="329"/>
      <c r="DR77" s="327"/>
      <c r="DS77" s="328"/>
      <c r="DT77" s="329"/>
      <c r="DU77" s="329"/>
      <c r="DV77" s="330"/>
      <c r="DW77" s="331"/>
      <c r="DX77" s="332"/>
      <c r="DY77" s="333"/>
      <c r="DZ77" s="332"/>
      <c r="EA77" s="334"/>
      <c r="EB77" s="335"/>
      <c r="EC77" s="332"/>
      <c r="ED77" s="333"/>
      <c r="EE77" s="332"/>
      <c r="EF77" s="336"/>
      <c r="EG77" s="329"/>
      <c r="EH77" s="327"/>
      <c r="EI77" s="328"/>
      <c r="EJ77" s="329"/>
      <c r="EK77" s="329"/>
      <c r="EL77" s="330"/>
      <c r="EM77" s="331"/>
      <c r="EN77" s="332"/>
      <c r="EO77" s="333"/>
      <c r="EP77" s="332"/>
      <c r="EQ77" s="334"/>
      <c r="ER77" s="335"/>
      <c r="ES77" s="332"/>
      <c r="ET77" s="333"/>
      <c r="EU77" s="332"/>
      <c r="EV77" s="336"/>
      <c r="EW77" s="329"/>
      <c r="EX77" s="327"/>
      <c r="EY77" s="328"/>
      <c r="EZ77" s="329"/>
      <c r="FA77" s="329"/>
      <c r="FB77" s="330"/>
      <c r="FC77" s="331"/>
      <c r="FD77" s="332"/>
      <c r="FE77" s="333"/>
      <c r="FF77" s="332"/>
      <c r="FG77" s="334"/>
      <c r="FH77" s="335"/>
      <c r="FI77" s="332"/>
      <c r="FJ77" s="333"/>
      <c r="FK77" s="332"/>
      <c r="FL77" s="336"/>
      <c r="FM77" s="329"/>
      <c r="FN77" s="327"/>
      <c r="FO77" s="328"/>
      <c r="FP77" s="329"/>
      <c r="FQ77" s="329"/>
      <c r="FR77" s="330"/>
      <c r="FS77" s="331"/>
      <c r="FT77" s="332"/>
      <c r="FU77" s="333"/>
      <c r="FV77" s="332"/>
      <c r="FW77" s="334"/>
      <c r="FX77" s="335"/>
      <c r="FY77" s="332"/>
      <c r="FZ77" s="333"/>
      <c r="GA77" s="332"/>
      <c r="GB77" s="336"/>
      <c r="GC77" s="329"/>
      <c r="GD77" s="327"/>
      <c r="GE77" s="328"/>
      <c r="GF77" s="329"/>
      <c r="GG77" s="329"/>
      <c r="GH77" s="330"/>
      <c r="GI77" s="331"/>
      <c r="GJ77" s="332"/>
      <c r="GK77" s="333"/>
      <c r="GL77" s="332"/>
      <c r="GM77" s="334"/>
      <c r="GN77" s="335"/>
      <c r="GO77" s="332"/>
      <c r="GP77" s="333"/>
      <c r="GQ77" s="332"/>
      <c r="GR77" s="336"/>
      <c r="GS77" s="329"/>
      <c r="GT77" s="327"/>
      <c r="GU77" s="328"/>
      <c r="GV77" s="329"/>
      <c r="GW77" s="329"/>
      <c r="GX77" s="330"/>
      <c r="GY77" s="331"/>
      <c r="GZ77" s="332"/>
      <c r="HA77" s="333"/>
      <c r="HB77" s="332"/>
      <c r="HC77" s="334"/>
      <c r="HD77" s="335"/>
      <c r="HE77" s="332"/>
      <c r="HF77" s="333"/>
      <c r="HG77" s="332"/>
      <c r="HH77" s="336"/>
      <c r="HI77" s="329"/>
      <c r="HJ77" s="327"/>
      <c r="HK77" s="328"/>
      <c r="HL77" s="329"/>
      <c r="HM77" s="329"/>
      <c r="HN77" s="330"/>
      <c r="HO77" s="331"/>
      <c r="HP77" s="332"/>
      <c r="HQ77" s="333"/>
      <c r="HR77" s="332"/>
      <c r="HS77" s="334"/>
      <c r="HT77" s="335"/>
      <c r="HU77" s="332"/>
      <c r="HV77" s="333"/>
      <c r="HW77" s="332"/>
      <c r="HX77" s="336"/>
      <c r="HY77" s="329"/>
      <c r="HZ77" s="327"/>
      <c r="IA77" s="328"/>
      <c r="IB77" s="329"/>
      <c r="IC77" s="329"/>
      <c r="ID77" s="330"/>
      <c r="IE77" s="331"/>
      <c r="IF77" s="332"/>
      <c r="IG77" s="333"/>
      <c r="IH77" s="332"/>
      <c r="II77" s="334"/>
      <c r="IJ77" s="335"/>
      <c r="IK77" s="332"/>
      <c r="IL77" s="333"/>
      <c r="IM77" s="332"/>
      <c r="IN77" s="336"/>
      <c r="IO77" s="329"/>
      <c r="IP77" s="327"/>
      <c r="IQ77" s="328"/>
      <c r="IR77" s="329"/>
      <c r="IS77" s="329"/>
      <c r="IT77" s="330"/>
      <c r="IU77" s="331"/>
      <c r="IV77" s="332"/>
      <c r="IW77" s="333"/>
      <c r="IX77" s="332"/>
    </row>
    <row r="78" spans="1:258" s="325" customFormat="1" ht="15.75" x14ac:dyDescent="0.2">
      <c r="A78" s="113">
        <v>1</v>
      </c>
      <c r="B78" s="113" t="s">
        <v>234</v>
      </c>
      <c r="C78" s="345" t="s">
        <v>0</v>
      </c>
      <c r="D78" s="117" t="s">
        <v>6</v>
      </c>
      <c r="E78" s="154" t="s">
        <v>2</v>
      </c>
      <c r="F78" s="193"/>
      <c r="G78" s="225"/>
      <c r="H78" s="323">
        <f t="shared" ref="H78:H96" si="102">$A78-F78-G78</f>
        <v>1</v>
      </c>
      <c r="I78" s="193"/>
      <c r="J78" s="225"/>
      <c r="K78" s="323">
        <f t="shared" ref="K78:K96" si="103">$A78-I78-J78</f>
        <v>1</v>
      </c>
      <c r="L78" s="193"/>
      <c r="M78" s="225"/>
      <c r="N78" s="323">
        <f t="shared" ref="N78:N96" si="104">$A78-L78-M78</f>
        <v>1</v>
      </c>
      <c r="O78" s="193"/>
      <c r="P78" s="225"/>
      <c r="Q78" s="323">
        <f t="shared" ref="Q78:Q96" si="105">$A78-O78-P78</f>
        <v>1</v>
      </c>
      <c r="R78" s="193"/>
      <c r="S78" s="225"/>
      <c r="T78" s="323">
        <f t="shared" ref="T78:T96" si="106">$A78-R78-S78</f>
        <v>1</v>
      </c>
      <c r="U78" s="344"/>
      <c r="V78" s="415" t="s">
        <v>7</v>
      </c>
      <c r="W78" s="324">
        <f t="shared" ref="W78:W96" si="107">INDEX($S$1:$V$10, MATCH(V78,$S$1:$S$10,), MATCH("Initials",$S$1:$V$1,))</f>
        <v>0</v>
      </c>
      <c r="X78" s="317" t="str">
        <f t="shared" ref="X78:X96" si="108">IF(C78="Yes","Yes1","Zero1")</f>
        <v>Yes1</v>
      </c>
      <c r="AI78" s="325">
        <f t="shared" ref="AI78" si="109">IF(AND(F78&gt;0,C78="No"),"ERROR",0)</f>
        <v>0</v>
      </c>
      <c r="AJ78" s="325">
        <f t="shared" ref="AJ78" si="110">IF(AND(I78&gt;0,$C78="No"),"ERROR",0)</f>
        <v>0</v>
      </c>
      <c r="AK78" s="325">
        <f t="shared" ref="AK78" si="111">IF(AND(L78&gt;0,$C78="No"),"ERROR",0)</f>
        <v>0</v>
      </c>
      <c r="AL78" s="325">
        <f t="shared" ref="AL78" si="112">IF(AND(O78&gt;0,$C78="No"),"ERROR",0)</f>
        <v>0</v>
      </c>
      <c r="AM78" s="325">
        <f t="shared" ref="AM78" si="113">IF(AND(R78&gt;0,$C78="No"),"ERROR",0)</f>
        <v>0</v>
      </c>
      <c r="AO78" s="325">
        <f>IF(AND(AP78+AQ78+AR78+AS78+AT78&gt;0,E78="Required",C78="Yes"),1,0)</f>
        <v>0</v>
      </c>
      <c r="AP78" s="325">
        <f>IF(AND($D$7="Programming",F78="",E78="Required",C78="Yes"),1,0)</f>
        <v>0</v>
      </c>
      <c r="AQ78" s="325">
        <f>IF(AND($D$7="Schematic Design",I78="",E78="Required",C78="Yes"),1,0)</f>
        <v>0</v>
      </c>
      <c r="AR78" s="325">
        <f>IF(AND($D$7="Detailed Design",L78="",E78="Required",C78="Yes"),1,0)</f>
        <v>0</v>
      </c>
      <c r="AS78" s="325">
        <f>IF(AND($D$7="Construction Documentation",O78="",E78="Required",C78="Yes"),1,0)</f>
        <v>0</v>
      </c>
      <c r="AT78" s="325">
        <f>IF(AND($D$7="Closeout",R78="",E78="Required",C78="Yes"),1,0)</f>
        <v>0</v>
      </c>
      <c r="AY78" s="325">
        <f t="shared" si="15"/>
        <v>1</v>
      </c>
      <c r="AZ78" s="325">
        <f t="shared" si="16"/>
        <v>0</v>
      </c>
      <c r="BA78" s="325">
        <f t="shared" si="17"/>
        <v>0</v>
      </c>
      <c r="BB78" s="325">
        <f t="shared" si="18"/>
        <v>0</v>
      </c>
      <c r="BC78" s="325">
        <f t="shared" si="19"/>
        <v>0</v>
      </c>
      <c r="BD78" s="325">
        <f t="shared" si="20"/>
        <v>0</v>
      </c>
    </row>
    <row r="79" spans="1:258" s="325" customFormat="1" ht="15.75" x14ac:dyDescent="0.2">
      <c r="A79" s="113">
        <v>1</v>
      </c>
      <c r="B79" s="113" t="s">
        <v>235</v>
      </c>
      <c r="C79" s="345" t="s">
        <v>0</v>
      </c>
      <c r="D79" s="117" t="s">
        <v>357</v>
      </c>
      <c r="E79" s="154" t="s">
        <v>2</v>
      </c>
      <c r="F79" s="193"/>
      <c r="G79" s="225"/>
      <c r="H79" s="323">
        <f t="shared" si="102"/>
        <v>1</v>
      </c>
      <c r="I79" s="193"/>
      <c r="J79" s="225"/>
      <c r="K79" s="323">
        <f t="shared" si="103"/>
        <v>1</v>
      </c>
      <c r="L79" s="193"/>
      <c r="M79" s="225"/>
      <c r="N79" s="323">
        <f t="shared" si="104"/>
        <v>1</v>
      </c>
      <c r="O79" s="193"/>
      <c r="P79" s="225"/>
      <c r="Q79" s="323">
        <f t="shared" si="105"/>
        <v>1</v>
      </c>
      <c r="R79" s="193"/>
      <c r="S79" s="225"/>
      <c r="T79" s="323">
        <f t="shared" si="106"/>
        <v>1</v>
      </c>
      <c r="U79" s="344"/>
      <c r="V79" s="416" t="s">
        <v>193</v>
      </c>
      <c r="W79" s="324">
        <f t="shared" si="107"/>
        <v>0</v>
      </c>
      <c r="X79" s="317" t="str">
        <f t="shared" si="108"/>
        <v>Yes1</v>
      </c>
      <c r="AI79" s="325">
        <f t="shared" ref="AI79:AI96" si="114">IF(AND(F79&gt;0,C79="No"),"ERROR",0)</f>
        <v>0</v>
      </c>
      <c r="AJ79" s="325">
        <f t="shared" ref="AJ79:AJ96" si="115">IF(AND(I79&gt;0,$C79="No"),"ERROR",0)</f>
        <v>0</v>
      </c>
      <c r="AK79" s="325">
        <f t="shared" ref="AK79:AK96" si="116">IF(AND(L79&gt;0,$C79="No"),"ERROR",0)</f>
        <v>0</v>
      </c>
      <c r="AL79" s="325">
        <f t="shared" ref="AL79:AL96" si="117">IF(AND(O79&gt;0,$C79="No"),"ERROR",0)</f>
        <v>0</v>
      </c>
      <c r="AM79" s="325">
        <f t="shared" ref="AM79:AM96" si="118">IF(AND(R79&gt;0,$C79="No"),"ERROR",0)</f>
        <v>0</v>
      </c>
      <c r="AO79" s="325">
        <f>IF(AND(AP79+AQ79+AR79+AS79+AT79&gt;0,E79="Required",C79="Yes"),1,0)</f>
        <v>0</v>
      </c>
      <c r="AP79" s="325">
        <f>IF(AND($D$7="Programming",F79="",E79="Required",C79="Yes"),1,0)</f>
        <v>0</v>
      </c>
      <c r="AQ79" s="325">
        <f>IF(AND($D$7="Schematic Design",I79="",E79="Required",C79="Yes"),1,0)</f>
        <v>0</v>
      </c>
      <c r="AR79" s="325">
        <f>IF(AND($D$7="Detailed Design",L79="",E79="Required",C79="Yes"),1,0)</f>
        <v>0</v>
      </c>
      <c r="AS79" s="325">
        <f>IF(AND($D$7="Construction Documentation",O79="",E79="Required",C79="Yes"),1,0)</f>
        <v>0</v>
      </c>
      <c r="AT79" s="325">
        <f>IF(AND($D$7="Closeout",R79="",E79="Required",C79="Yes"),1,0)</f>
        <v>0</v>
      </c>
      <c r="AY79" s="325">
        <f t="shared" si="15"/>
        <v>1</v>
      </c>
      <c r="AZ79" s="325">
        <f t="shared" si="16"/>
        <v>0</v>
      </c>
      <c r="BA79" s="325">
        <f t="shared" si="17"/>
        <v>0</v>
      </c>
      <c r="BB79" s="325">
        <f t="shared" si="18"/>
        <v>0</v>
      </c>
      <c r="BC79" s="325">
        <f t="shared" si="19"/>
        <v>0</v>
      </c>
      <c r="BD79" s="325">
        <f t="shared" si="20"/>
        <v>0</v>
      </c>
    </row>
    <row r="80" spans="1:258" s="325" customFormat="1" ht="25.5" x14ac:dyDescent="0.2">
      <c r="A80" s="113">
        <v>1</v>
      </c>
      <c r="B80" s="113" t="s">
        <v>236</v>
      </c>
      <c r="C80" s="345" t="s">
        <v>0</v>
      </c>
      <c r="D80" s="117" t="s">
        <v>177</v>
      </c>
      <c r="E80" s="154" t="s">
        <v>352</v>
      </c>
      <c r="F80" s="193"/>
      <c r="G80" s="225"/>
      <c r="H80" s="323">
        <f t="shared" si="102"/>
        <v>1</v>
      </c>
      <c r="I80" s="193"/>
      <c r="J80" s="225"/>
      <c r="K80" s="323">
        <f t="shared" si="103"/>
        <v>1</v>
      </c>
      <c r="L80" s="193"/>
      <c r="M80" s="225"/>
      <c r="N80" s="323">
        <f t="shared" si="104"/>
        <v>1</v>
      </c>
      <c r="O80" s="193"/>
      <c r="P80" s="225"/>
      <c r="Q80" s="323">
        <f t="shared" si="105"/>
        <v>1</v>
      </c>
      <c r="R80" s="193"/>
      <c r="S80" s="225"/>
      <c r="T80" s="323">
        <f t="shared" si="106"/>
        <v>1</v>
      </c>
      <c r="U80" s="344"/>
      <c r="V80" s="416" t="s">
        <v>193</v>
      </c>
      <c r="W80" s="324">
        <f t="shared" si="107"/>
        <v>0</v>
      </c>
      <c r="X80" s="317" t="str">
        <f t="shared" si="108"/>
        <v>Yes1</v>
      </c>
      <c r="AI80" s="325">
        <f t="shared" si="114"/>
        <v>0</v>
      </c>
      <c r="AJ80" s="325">
        <f t="shared" si="115"/>
        <v>0</v>
      </c>
      <c r="AK80" s="325">
        <f t="shared" si="116"/>
        <v>0</v>
      </c>
      <c r="AL80" s="325">
        <f t="shared" si="117"/>
        <v>0</v>
      </c>
      <c r="AM80" s="325">
        <f t="shared" si="118"/>
        <v>0</v>
      </c>
      <c r="AY80" s="325">
        <f t="shared" si="15"/>
        <v>0</v>
      </c>
      <c r="AZ80" s="325">
        <f t="shared" si="16"/>
        <v>0</v>
      </c>
      <c r="BA80" s="325">
        <f t="shared" si="17"/>
        <v>0</v>
      </c>
      <c r="BB80" s="325">
        <f t="shared" si="18"/>
        <v>0</v>
      </c>
      <c r="BC80" s="325">
        <f t="shared" si="19"/>
        <v>0</v>
      </c>
      <c r="BD80" s="325">
        <f t="shared" si="20"/>
        <v>0</v>
      </c>
    </row>
    <row r="81" spans="1:56" s="325" customFormat="1" ht="15.75" x14ac:dyDescent="0.2">
      <c r="A81" s="113">
        <v>1</v>
      </c>
      <c r="B81" s="113" t="s">
        <v>237</v>
      </c>
      <c r="C81" s="345" t="s">
        <v>0</v>
      </c>
      <c r="D81" s="117" t="s">
        <v>178</v>
      </c>
      <c r="E81" s="154" t="s">
        <v>352</v>
      </c>
      <c r="F81" s="193"/>
      <c r="G81" s="225"/>
      <c r="H81" s="323">
        <f t="shared" si="102"/>
        <v>1</v>
      </c>
      <c r="I81" s="193"/>
      <c r="J81" s="225"/>
      <c r="K81" s="323">
        <f t="shared" si="103"/>
        <v>1</v>
      </c>
      <c r="L81" s="193"/>
      <c r="M81" s="225"/>
      <c r="N81" s="323">
        <f t="shared" si="104"/>
        <v>1</v>
      </c>
      <c r="O81" s="193"/>
      <c r="P81" s="225"/>
      <c r="Q81" s="323">
        <f t="shared" si="105"/>
        <v>1</v>
      </c>
      <c r="R81" s="193"/>
      <c r="S81" s="225"/>
      <c r="T81" s="323">
        <f t="shared" si="106"/>
        <v>1</v>
      </c>
      <c r="U81" s="344"/>
      <c r="V81" s="416" t="s">
        <v>193</v>
      </c>
      <c r="W81" s="324">
        <f t="shared" si="107"/>
        <v>0</v>
      </c>
      <c r="X81" s="317" t="str">
        <f t="shared" si="108"/>
        <v>Yes1</v>
      </c>
      <c r="AI81" s="325">
        <f t="shared" si="114"/>
        <v>0</v>
      </c>
      <c r="AJ81" s="325">
        <f t="shared" si="115"/>
        <v>0</v>
      </c>
      <c r="AK81" s="325">
        <f t="shared" si="116"/>
        <v>0</v>
      </c>
      <c r="AL81" s="325">
        <f t="shared" si="117"/>
        <v>0</v>
      </c>
      <c r="AM81" s="325">
        <f t="shared" si="118"/>
        <v>0</v>
      </c>
      <c r="AY81" s="325">
        <f t="shared" si="15"/>
        <v>0</v>
      </c>
      <c r="AZ81" s="325">
        <f t="shared" si="16"/>
        <v>0</v>
      </c>
      <c r="BA81" s="325">
        <f t="shared" si="17"/>
        <v>0</v>
      </c>
      <c r="BB81" s="325">
        <f t="shared" si="18"/>
        <v>0</v>
      </c>
      <c r="BC81" s="325">
        <f t="shared" si="19"/>
        <v>0</v>
      </c>
      <c r="BD81" s="325">
        <f t="shared" si="20"/>
        <v>0</v>
      </c>
    </row>
    <row r="82" spans="1:56" s="325" customFormat="1" ht="15.75" x14ac:dyDescent="0.2">
      <c r="A82" s="113">
        <v>1</v>
      </c>
      <c r="B82" s="113" t="s">
        <v>238</v>
      </c>
      <c r="C82" s="345" t="s">
        <v>0</v>
      </c>
      <c r="D82" s="117" t="s">
        <v>179</v>
      </c>
      <c r="E82" s="154" t="s">
        <v>351</v>
      </c>
      <c r="F82" s="193"/>
      <c r="G82" s="225"/>
      <c r="H82" s="323">
        <f t="shared" si="102"/>
        <v>1</v>
      </c>
      <c r="I82" s="193"/>
      <c r="J82" s="225"/>
      <c r="K82" s="323">
        <f t="shared" si="103"/>
        <v>1</v>
      </c>
      <c r="L82" s="193"/>
      <c r="M82" s="225"/>
      <c r="N82" s="323">
        <f t="shared" si="104"/>
        <v>1</v>
      </c>
      <c r="O82" s="193"/>
      <c r="P82" s="225"/>
      <c r="Q82" s="323">
        <f t="shared" si="105"/>
        <v>1</v>
      </c>
      <c r="R82" s="193"/>
      <c r="S82" s="225"/>
      <c r="T82" s="323">
        <f t="shared" si="106"/>
        <v>1</v>
      </c>
      <c r="U82" s="344"/>
      <c r="V82" s="416" t="s">
        <v>11</v>
      </c>
      <c r="W82" s="324">
        <f t="shared" si="107"/>
        <v>0</v>
      </c>
      <c r="X82" s="317" t="str">
        <f t="shared" si="108"/>
        <v>Yes1</v>
      </c>
      <c r="AI82" s="325">
        <f t="shared" si="114"/>
        <v>0</v>
      </c>
      <c r="AJ82" s="325">
        <f t="shared" si="115"/>
        <v>0</v>
      </c>
      <c r="AK82" s="325">
        <f t="shared" si="116"/>
        <v>0</v>
      </c>
      <c r="AL82" s="325">
        <f t="shared" si="117"/>
        <v>0</v>
      </c>
      <c r="AM82" s="325">
        <f t="shared" si="118"/>
        <v>0</v>
      </c>
      <c r="AY82" s="325">
        <f t="shared" ref="AY82:AY103" si="119">IF(AND(C82="Yes",E82="Required"),A82,0)</f>
        <v>0</v>
      </c>
      <c r="AZ82" s="325">
        <f t="shared" si="16"/>
        <v>0</v>
      </c>
      <c r="BA82" s="325">
        <f t="shared" si="17"/>
        <v>0</v>
      </c>
      <c r="BB82" s="325">
        <f t="shared" si="18"/>
        <v>0</v>
      </c>
      <c r="BC82" s="325">
        <f t="shared" si="19"/>
        <v>0</v>
      </c>
      <c r="BD82" s="325">
        <f t="shared" si="20"/>
        <v>0</v>
      </c>
    </row>
    <row r="83" spans="1:56" s="325" customFormat="1" ht="15.75" x14ac:dyDescent="0.2">
      <c r="A83" s="113">
        <v>1</v>
      </c>
      <c r="B83" s="113" t="s">
        <v>239</v>
      </c>
      <c r="C83" s="345" t="s">
        <v>0</v>
      </c>
      <c r="D83" s="117" t="s">
        <v>180</v>
      </c>
      <c r="E83" s="154" t="s">
        <v>352</v>
      </c>
      <c r="F83" s="193"/>
      <c r="G83" s="225"/>
      <c r="H83" s="323">
        <f t="shared" si="102"/>
        <v>1</v>
      </c>
      <c r="I83" s="193"/>
      <c r="J83" s="225"/>
      <c r="K83" s="323">
        <f t="shared" si="103"/>
        <v>1</v>
      </c>
      <c r="L83" s="193"/>
      <c r="M83" s="225"/>
      <c r="N83" s="323">
        <f t="shared" si="104"/>
        <v>1</v>
      </c>
      <c r="O83" s="193"/>
      <c r="P83" s="225"/>
      <c r="Q83" s="323">
        <f t="shared" si="105"/>
        <v>1</v>
      </c>
      <c r="R83" s="193"/>
      <c r="S83" s="225"/>
      <c r="T83" s="323">
        <f t="shared" si="106"/>
        <v>1</v>
      </c>
      <c r="U83" s="344"/>
      <c r="V83" s="416" t="s">
        <v>11</v>
      </c>
      <c r="W83" s="324">
        <f t="shared" si="107"/>
        <v>0</v>
      </c>
      <c r="X83" s="317" t="str">
        <f t="shared" si="108"/>
        <v>Yes1</v>
      </c>
      <c r="AI83" s="325">
        <f t="shared" si="114"/>
        <v>0</v>
      </c>
      <c r="AJ83" s="325">
        <f t="shared" si="115"/>
        <v>0</v>
      </c>
      <c r="AK83" s="325">
        <f t="shared" si="116"/>
        <v>0</v>
      </c>
      <c r="AL83" s="325">
        <f t="shared" si="117"/>
        <v>0</v>
      </c>
      <c r="AM83" s="325">
        <f t="shared" si="118"/>
        <v>0</v>
      </c>
      <c r="AY83" s="325">
        <f t="shared" si="119"/>
        <v>0</v>
      </c>
      <c r="AZ83" s="325">
        <f t="shared" ref="AZ83:AZ103" si="120">IF(AND($E83="Required",$C83="Yes",F83&gt;0),$A83,0)</f>
        <v>0</v>
      </c>
      <c r="BA83" s="325">
        <f t="shared" ref="BA83:BA103" si="121">IF(AND($E83="Required",$C83="Yes",I83&gt;0),$A83,0)</f>
        <v>0</v>
      </c>
      <c r="BB83" s="325">
        <f t="shared" ref="BB83:BB103" si="122">IF(AND($E83="Required",$C83="Yes",L83&gt;0),$A83,0)</f>
        <v>0</v>
      </c>
      <c r="BC83" s="325">
        <f t="shared" ref="BC83:BC103" si="123">IF(AND($E83="Required",$C83="Yes",O83&gt;0),$A83,0)</f>
        <v>0</v>
      </c>
      <c r="BD83" s="325">
        <f t="shared" ref="BD83:BD103" si="124">IF(AND($E83="Required",$C83="Yes",R83&gt;0),$A83,0)</f>
        <v>0</v>
      </c>
    </row>
    <row r="84" spans="1:56" s="325" customFormat="1" ht="15.75" x14ac:dyDescent="0.2">
      <c r="A84" s="113">
        <v>1</v>
      </c>
      <c r="B84" s="113" t="s">
        <v>240</v>
      </c>
      <c r="C84" s="345" t="s">
        <v>0</v>
      </c>
      <c r="D84" s="117" t="s">
        <v>181</v>
      </c>
      <c r="E84" s="154" t="s">
        <v>2</v>
      </c>
      <c r="F84" s="193"/>
      <c r="G84" s="225"/>
      <c r="H84" s="323">
        <f t="shared" si="102"/>
        <v>1</v>
      </c>
      <c r="I84" s="193"/>
      <c r="J84" s="225"/>
      <c r="K84" s="323">
        <f t="shared" si="103"/>
        <v>1</v>
      </c>
      <c r="L84" s="193"/>
      <c r="M84" s="225"/>
      <c r="N84" s="323">
        <f t="shared" si="104"/>
        <v>1</v>
      </c>
      <c r="O84" s="193"/>
      <c r="P84" s="225"/>
      <c r="Q84" s="323">
        <f t="shared" si="105"/>
        <v>1</v>
      </c>
      <c r="R84" s="193"/>
      <c r="S84" s="225"/>
      <c r="T84" s="323">
        <f t="shared" si="106"/>
        <v>1</v>
      </c>
      <c r="U84" s="344"/>
      <c r="V84" s="416" t="s">
        <v>196</v>
      </c>
      <c r="W84" s="324">
        <f t="shared" si="107"/>
        <v>0</v>
      </c>
      <c r="X84" s="317" t="str">
        <f t="shared" si="108"/>
        <v>Yes1</v>
      </c>
      <c r="AI84" s="325">
        <f t="shared" si="114"/>
        <v>0</v>
      </c>
      <c r="AJ84" s="325">
        <f t="shared" si="115"/>
        <v>0</v>
      </c>
      <c r="AK84" s="325">
        <f t="shared" si="116"/>
        <v>0</v>
      </c>
      <c r="AL84" s="325">
        <f t="shared" si="117"/>
        <v>0</v>
      </c>
      <c r="AM84" s="325">
        <f t="shared" si="118"/>
        <v>0</v>
      </c>
      <c r="AO84" s="325">
        <f>IF(AND(AP84+AQ84+AR84+AS84+AT84&gt;0,E84="Required",C84="Yes"),1,0)</f>
        <v>0</v>
      </c>
      <c r="AP84" s="325">
        <f>IF(AND($D$7="Programming",F84="",E84="Required",C84="Yes"),1,0)</f>
        <v>0</v>
      </c>
      <c r="AQ84" s="325">
        <f>IF(AND($D$7="Schematic Design",I84="",E84="Required",C84="Yes"),1,0)</f>
        <v>0</v>
      </c>
      <c r="AR84" s="325">
        <f>IF(AND($D$7="Detailed Design",L84="",E84="Required",C84="Yes"),1,0)</f>
        <v>0</v>
      </c>
      <c r="AS84" s="325">
        <f>IF(AND($D$7="Construction Documentation",O84="",E84="Required",C84="Yes"),1,0)</f>
        <v>0</v>
      </c>
      <c r="AT84" s="325">
        <f>IF(AND($D$7="Closeout",R84="",E84="Required",C84="Yes"),1,0)</f>
        <v>0</v>
      </c>
      <c r="AY84" s="325">
        <f t="shared" si="119"/>
        <v>1</v>
      </c>
      <c r="AZ84" s="325">
        <f t="shared" si="120"/>
        <v>0</v>
      </c>
      <c r="BA84" s="325">
        <f t="shared" si="121"/>
        <v>0</v>
      </c>
      <c r="BB84" s="325">
        <f t="shared" si="122"/>
        <v>0</v>
      </c>
      <c r="BC84" s="325">
        <f t="shared" si="123"/>
        <v>0</v>
      </c>
      <c r="BD84" s="325">
        <f t="shared" si="124"/>
        <v>0</v>
      </c>
    </row>
    <row r="85" spans="1:56" s="325" customFormat="1" ht="15.75" x14ac:dyDescent="0.2">
      <c r="A85" s="113">
        <v>1</v>
      </c>
      <c r="B85" s="113" t="s">
        <v>241</v>
      </c>
      <c r="C85" s="345" t="s">
        <v>0</v>
      </c>
      <c r="D85" s="117" t="s">
        <v>182</v>
      </c>
      <c r="E85" s="154" t="s">
        <v>2</v>
      </c>
      <c r="F85" s="193"/>
      <c r="G85" s="225"/>
      <c r="H85" s="323">
        <f t="shared" si="102"/>
        <v>1</v>
      </c>
      <c r="I85" s="193"/>
      <c r="J85" s="225"/>
      <c r="K85" s="323">
        <f t="shared" si="103"/>
        <v>1</v>
      </c>
      <c r="L85" s="193"/>
      <c r="M85" s="225"/>
      <c r="N85" s="323">
        <f t="shared" si="104"/>
        <v>1</v>
      </c>
      <c r="O85" s="193"/>
      <c r="P85" s="225"/>
      <c r="Q85" s="323">
        <f t="shared" si="105"/>
        <v>1</v>
      </c>
      <c r="R85" s="193"/>
      <c r="S85" s="225"/>
      <c r="T85" s="323">
        <f t="shared" si="106"/>
        <v>1</v>
      </c>
      <c r="U85" s="344"/>
      <c r="V85" s="416" t="s">
        <v>196</v>
      </c>
      <c r="W85" s="324">
        <f t="shared" si="107"/>
        <v>0</v>
      </c>
      <c r="X85" s="317" t="str">
        <f t="shared" si="108"/>
        <v>Yes1</v>
      </c>
      <c r="AI85" s="325">
        <f t="shared" si="114"/>
        <v>0</v>
      </c>
      <c r="AJ85" s="325">
        <f t="shared" si="115"/>
        <v>0</v>
      </c>
      <c r="AK85" s="325">
        <f t="shared" si="116"/>
        <v>0</v>
      </c>
      <c r="AL85" s="325">
        <f t="shared" si="117"/>
        <v>0</v>
      </c>
      <c r="AM85" s="325">
        <f t="shared" si="118"/>
        <v>0</v>
      </c>
      <c r="AO85" s="325">
        <f>IF(AND(AP85+AQ85+AR85+AS85+AT85&gt;0,E85="Required",C85="Yes"),1,0)</f>
        <v>0</v>
      </c>
      <c r="AP85" s="325">
        <f>IF(AND($D$7="Programming",F85="",E85="Required",C85="Yes"),1,0)</f>
        <v>0</v>
      </c>
      <c r="AQ85" s="325">
        <f>IF(AND($D$7="Schematic Design",I85="",E85="Required",C85="Yes"),1,0)</f>
        <v>0</v>
      </c>
      <c r="AR85" s="325">
        <f>IF(AND($D$7="Detailed Design",L85="",E85="Required",C85="Yes"),1,0)</f>
        <v>0</v>
      </c>
      <c r="AS85" s="325">
        <f>IF(AND($D$7="Construction Documentation",O85="",E85="Required",C85="Yes"),1,0)</f>
        <v>0</v>
      </c>
      <c r="AT85" s="325">
        <f>IF(AND($D$7="Closeout",R85="",E85="Required",C85="Yes"),1,0)</f>
        <v>0</v>
      </c>
      <c r="AY85" s="325">
        <f t="shared" si="119"/>
        <v>1</v>
      </c>
      <c r="AZ85" s="325">
        <f t="shared" si="120"/>
        <v>0</v>
      </c>
      <c r="BA85" s="325">
        <f t="shared" si="121"/>
        <v>0</v>
      </c>
      <c r="BB85" s="325">
        <f t="shared" si="122"/>
        <v>0</v>
      </c>
      <c r="BC85" s="325">
        <f t="shared" si="123"/>
        <v>0</v>
      </c>
      <c r="BD85" s="325">
        <f t="shared" si="124"/>
        <v>0</v>
      </c>
    </row>
    <row r="86" spans="1:56" s="325" customFormat="1" ht="15.75" x14ac:dyDescent="0.2">
      <c r="A86" s="113">
        <v>1</v>
      </c>
      <c r="B86" s="113" t="s">
        <v>242</v>
      </c>
      <c r="C86" s="345" t="s">
        <v>0</v>
      </c>
      <c r="D86" s="117" t="s">
        <v>183</v>
      </c>
      <c r="E86" s="154" t="s">
        <v>2</v>
      </c>
      <c r="F86" s="193"/>
      <c r="G86" s="225"/>
      <c r="H86" s="323">
        <f t="shared" si="102"/>
        <v>1</v>
      </c>
      <c r="I86" s="193"/>
      <c r="J86" s="225"/>
      <c r="K86" s="323">
        <f t="shared" si="103"/>
        <v>1</v>
      </c>
      <c r="L86" s="193"/>
      <c r="M86" s="225"/>
      <c r="N86" s="323">
        <f t="shared" si="104"/>
        <v>1</v>
      </c>
      <c r="O86" s="193"/>
      <c r="P86" s="225"/>
      <c r="Q86" s="323">
        <f t="shared" si="105"/>
        <v>1</v>
      </c>
      <c r="R86" s="193"/>
      <c r="S86" s="225"/>
      <c r="T86" s="323">
        <f t="shared" si="106"/>
        <v>1</v>
      </c>
      <c r="U86" s="344"/>
      <c r="V86" s="416" t="s">
        <v>196</v>
      </c>
      <c r="W86" s="324">
        <f t="shared" si="107"/>
        <v>0</v>
      </c>
      <c r="X86" s="317" t="str">
        <f t="shared" si="108"/>
        <v>Yes1</v>
      </c>
      <c r="AI86" s="325">
        <f t="shared" si="114"/>
        <v>0</v>
      </c>
      <c r="AJ86" s="325">
        <f t="shared" si="115"/>
        <v>0</v>
      </c>
      <c r="AK86" s="325">
        <f t="shared" si="116"/>
        <v>0</v>
      </c>
      <c r="AL86" s="325">
        <f t="shared" si="117"/>
        <v>0</v>
      </c>
      <c r="AM86" s="325">
        <f t="shared" si="118"/>
        <v>0</v>
      </c>
      <c r="AO86" s="325">
        <f>IF(AND(AP86+AQ86+AR86+AS86+AT86&gt;0,E86="Required",C86="Yes"),1,0)</f>
        <v>0</v>
      </c>
      <c r="AP86" s="325">
        <f>IF(AND($D$7="Programming",F86="",E86="Required",C86="Yes"),1,0)</f>
        <v>0</v>
      </c>
      <c r="AQ86" s="325">
        <f>IF(AND($D$7="Schematic Design",I86="",E86="Required",C86="Yes"),1,0)</f>
        <v>0</v>
      </c>
      <c r="AR86" s="325">
        <f>IF(AND($D$7="Detailed Design",L86="",E86="Required",C86="Yes"),1,0)</f>
        <v>0</v>
      </c>
      <c r="AS86" s="325">
        <f>IF(AND($D$7="Construction Documentation",O86="",E86="Required",C86="Yes"),1,0)</f>
        <v>0</v>
      </c>
      <c r="AT86" s="325">
        <f>IF(AND($D$7="Closeout",R86="",E86="Required",C86="Yes"),1,0)</f>
        <v>0</v>
      </c>
      <c r="AY86" s="325">
        <f t="shared" si="119"/>
        <v>1</v>
      </c>
      <c r="AZ86" s="325">
        <f t="shared" si="120"/>
        <v>0</v>
      </c>
      <c r="BA86" s="325">
        <f t="shared" si="121"/>
        <v>0</v>
      </c>
      <c r="BB86" s="325">
        <f t="shared" si="122"/>
        <v>0</v>
      </c>
      <c r="BC86" s="325">
        <f t="shared" si="123"/>
        <v>0</v>
      </c>
      <c r="BD86" s="325">
        <f t="shared" si="124"/>
        <v>0</v>
      </c>
    </row>
    <row r="87" spans="1:56" s="325" customFormat="1" ht="15.75" x14ac:dyDescent="0.2">
      <c r="A87" s="113">
        <v>1</v>
      </c>
      <c r="B87" s="113" t="s">
        <v>243</v>
      </c>
      <c r="C87" s="345" t="s">
        <v>0</v>
      </c>
      <c r="D87" s="117" t="s">
        <v>184</v>
      </c>
      <c r="E87" s="154" t="s">
        <v>2</v>
      </c>
      <c r="F87" s="193"/>
      <c r="G87" s="225"/>
      <c r="H87" s="323">
        <f t="shared" si="102"/>
        <v>1</v>
      </c>
      <c r="I87" s="193"/>
      <c r="J87" s="225"/>
      <c r="K87" s="323">
        <f t="shared" si="103"/>
        <v>1</v>
      </c>
      <c r="L87" s="193"/>
      <c r="M87" s="225"/>
      <c r="N87" s="323">
        <f t="shared" si="104"/>
        <v>1</v>
      </c>
      <c r="O87" s="193"/>
      <c r="P87" s="225"/>
      <c r="Q87" s="323">
        <f t="shared" si="105"/>
        <v>1</v>
      </c>
      <c r="R87" s="193"/>
      <c r="S87" s="225"/>
      <c r="T87" s="323">
        <f t="shared" si="106"/>
        <v>1</v>
      </c>
      <c r="U87" s="344"/>
      <c r="V87" s="416" t="s">
        <v>196</v>
      </c>
      <c r="W87" s="324">
        <f t="shared" si="107"/>
        <v>0</v>
      </c>
      <c r="X87" s="317" t="str">
        <f t="shared" si="108"/>
        <v>Yes1</v>
      </c>
      <c r="AI87" s="325">
        <f t="shared" si="114"/>
        <v>0</v>
      </c>
      <c r="AJ87" s="325">
        <f t="shared" si="115"/>
        <v>0</v>
      </c>
      <c r="AK87" s="325">
        <f t="shared" si="116"/>
        <v>0</v>
      </c>
      <c r="AL87" s="325">
        <f t="shared" si="117"/>
        <v>0</v>
      </c>
      <c r="AM87" s="325">
        <f t="shared" si="118"/>
        <v>0</v>
      </c>
      <c r="AO87" s="325">
        <f>IF(AND(AP87+AQ87+AR87+AS87+AT87&gt;0,E87="Required",C87="Yes"),1,0)</f>
        <v>0</v>
      </c>
      <c r="AP87" s="325">
        <f>IF(AND($D$7="Programming",F87="",E87="Required",C87="Yes"),1,0)</f>
        <v>0</v>
      </c>
      <c r="AQ87" s="325">
        <f>IF(AND($D$7="Schematic Design",I87="",E87="Required",C87="Yes"),1,0)</f>
        <v>0</v>
      </c>
      <c r="AR87" s="325">
        <f>IF(AND($D$7="Detailed Design",L87="",E87="Required",C87="Yes"),1,0)</f>
        <v>0</v>
      </c>
      <c r="AS87" s="325">
        <f>IF(AND($D$7="Construction Documentation",O87="",E87="Required",C87="Yes"),1,0)</f>
        <v>0</v>
      </c>
      <c r="AT87" s="325">
        <f>IF(AND($D$7="Closeout",R87="",E87="Required",C87="Yes"),1,0)</f>
        <v>0</v>
      </c>
      <c r="AY87" s="325">
        <f t="shared" si="119"/>
        <v>1</v>
      </c>
      <c r="AZ87" s="325">
        <f t="shared" si="120"/>
        <v>0</v>
      </c>
      <c r="BA87" s="325">
        <f t="shared" si="121"/>
        <v>0</v>
      </c>
      <c r="BB87" s="325">
        <f t="shared" si="122"/>
        <v>0</v>
      </c>
      <c r="BC87" s="325">
        <f t="shared" si="123"/>
        <v>0</v>
      </c>
      <c r="BD87" s="325">
        <f t="shared" si="124"/>
        <v>0</v>
      </c>
    </row>
    <row r="88" spans="1:56" s="325" customFormat="1" ht="15.75" x14ac:dyDescent="0.2">
      <c r="A88" s="113">
        <v>1</v>
      </c>
      <c r="B88" s="113" t="s">
        <v>244</v>
      </c>
      <c r="C88" s="345" t="s">
        <v>0</v>
      </c>
      <c r="D88" s="117" t="s">
        <v>185</v>
      </c>
      <c r="E88" s="154" t="s">
        <v>2</v>
      </c>
      <c r="F88" s="193"/>
      <c r="G88" s="225"/>
      <c r="H88" s="323">
        <f t="shared" si="102"/>
        <v>1</v>
      </c>
      <c r="I88" s="193"/>
      <c r="J88" s="225"/>
      <c r="K88" s="323">
        <f t="shared" si="103"/>
        <v>1</v>
      </c>
      <c r="L88" s="193"/>
      <c r="M88" s="225"/>
      <c r="N88" s="323">
        <f t="shared" si="104"/>
        <v>1</v>
      </c>
      <c r="O88" s="193"/>
      <c r="P88" s="225"/>
      <c r="Q88" s="323">
        <f t="shared" si="105"/>
        <v>1</v>
      </c>
      <c r="R88" s="193"/>
      <c r="S88" s="225"/>
      <c r="T88" s="323">
        <f t="shared" si="106"/>
        <v>1</v>
      </c>
      <c r="U88" s="344"/>
      <c r="V88" s="416" t="s">
        <v>196</v>
      </c>
      <c r="W88" s="324">
        <f t="shared" si="107"/>
        <v>0</v>
      </c>
      <c r="X88" s="317" t="str">
        <f t="shared" si="108"/>
        <v>Yes1</v>
      </c>
      <c r="AI88" s="325">
        <f t="shared" si="114"/>
        <v>0</v>
      </c>
      <c r="AJ88" s="325">
        <f t="shared" si="115"/>
        <v>0</v>
      </c>
      <c r="AK88" s="325">
        <f t="shared" si="116"/>
        <v>0</v>
      </c>
      <c r="AL88" s="325">
        <f t="shared" si="117"/>
        <v>0</v>
      </c>
      <c r="AM88" s="325">
        <f t="shared" si="118"/>
        <v>0</v>
      </c>
      <c r="AO88" s="325">
        <f>IF(AND(AP88+AQ88+AR88+AS88+AT88&gt;0,E88="Required",C88="Yes"),1,0)</f>
        <v>0</v>
      </c>
      <c r="AP88" s="325">
        <f>IF(AND($D$7="Programming",F88="",E88="Required",C88="Yes"),1,0)</f>
        <v>0</v>
      </c>
      <c r="AQ88" s="325">
        <f>IF(AND($D$7="Schematic Design",I88="",E88="Required",C88="Yes"),1,0)</f>
        <v>0</v>
      </c>
      <c r="AR88" s="325">
        <f>IF(AND($D$7="Detailed Design",L88="",E88="Required",C88="Yes"),1,0)</f>
        <v>0</v>
      </c>
      <c r="AS88" s="325">
        <f>IF(AND($D$7="Construction Documentation",O88="",E88="Required",C88="Yes"),1,0)</f>
        <v>0</v>
      </c>
      <c r="AT88" s="325">
        <f>IF(AND($D$7="Closeout",R88="",E88="Required",C88="Yes"),1,0)</f>
        <v>0</v>
      </c>
      <c r="AY88" s="325">
        <f t="shared" si="119"/>
        <v>1</v>
      </c>
      <c r="AZ88" s="325">
        <f t="shared" si="120"/>
        <v>0</v>
      </c>
      <c r="BA88" s="325">
        <f t="shared" si="121"/>
        <v>0</v>
      </c>
      <c r="BB88" s="325">
        <f t="shared" si="122"/>
        <v>0</v>
      </c>
      <c r="BC88" s="325">
        <f t="shared" si="123"/>
        <v>0</v>
      </c>
      <c r="BD88" s="325">
        <f t="shared" si="124"/>
        <v>0</v>
      </c>
    </row>
    <row r="89" spans="1:56" s="325" customFormat="1" ht="15.75" x14ac:dyDescent="0.2">
      <c r="A89" s="113">
        <v>1</v>
      </c>
      <c r="B89" s="113" t="s">
        <v>245</v>
      </c>
      <c r="C89" s="345" t="s">
        <v>0</v>
      </c>
      <c r="D89" s="117" t="s">
        <v>186</v>
      </c>
      <c r="E89" s="154" t="s">
        <v>351</v>
      </c>
      <c r="F89" s="193"/>
      <c r="G89" s="225"/>
      <c r="H89" s="323">
        <f t="shared" si="102"/>
        <v>1</v>
      </c>
      <c r="I89" s="193"/>
      <c r="J89" s="225"/>
      <c r="K89" s="323">
        <f t="shared" si="103"/>
        <v>1</v>
      </c>
      <c r="L89" s="193"/>
      <c r="M89" s="225"/>
      <c r="N89" s="323">
        <f t="shared" si="104"/>
        <v>1</v>
      </c>
      <c r="O89" s="193"/>
      <c r="P89" s="225"/>
      <c r="Q89" s="323">
        <f t="shared" si="105"/>
        <v>1</v>
      </c>
      <c r="R89" s="193"/>
      <c r="S89" s="225"/>
      <c r="T89" s="323">
        <f t="shared" si="106"/>
        <v>1</v>
      </c>
      <c r="U89" s="344"/>
      <c r="V89" s="416" t="s">
        <v>196</v>
      </c>
      <c r="W89" s="324">
        <f t="shared" si="107"/>
        <v>0</v>
      </c>
      <c r="X89" s="317" t="str">
        <f t="shared" si="108"/>
        <v>Yes1</v>
      </c>
      <c r="AI89" s="325">
        <f t="shared" si="114"/>
        <v>0</v>
      </c>
      <c r="AJ89" s="325">
        <f t="shared" si="115"/>
        <v>0</v>
      </c>
      <c r="AK89" s="325">
        <f t="shared" si="116"/>
        <v>0</v>
      </c>
      <c r="AL89" s="325">
        <f t="shared" si="117"/>
        <v>0</v>
      </c>
      <c r="AM89" s="325">
        <f t="shared" si="118"/>
        <v>0</v>
      </c>
      <c r="AY89" s="325">
        <f t="shared" si="119"/>
        <v>0</v>
      </c>
      <c r="AZ89" s="325">
        <f t="shared" si="120"/>
        <v>0</v>
      </c>
      <c r="BA89" s="325">
        <f t="shared" si="121"/>
        <v>0</v>
      </c>
      <c r="BB89" s="325">
        <f t="shared" si="122"/>
        <v>0</v>
      </c>
      <c r="BC89" s="325">
        <f t="shared" si="123"/>
        <v>0</v>
      </c>
      <c r="BD89" s="325">
        <f t="shared" si="124"/>
        <v>0</v>
      </c>
    </row>
    <row r="90" spans="1:56" s="325" customFormat="1" ht="15.75" x14ac:dyDescent="0.2">
      <c r="A90" s="113">
        <v>1</v>
      </c>
      <c r="B90" s="113" t="s">
        <v>246</v>
      </c>
      <c r="C90" s="345" t="s">
        <v>0</v>
      </c>
      <c r="D90" s="117" t="s">
        <v>187</v>
      </c>
      <c r="E90" s="154" t="s">
        <v>2</v>
      </c>
      <c r="F90" s="193"/>
      <c r="G90" s="225"/>
      <c r="H90" s="323">
        <f t="shared" si="102"/>
        <v>1</v>
      </c>
      <c r="I90" s="193"/>
      <c r="J90" s="225"/>
      <c r="K90" s="323">
        <f t="shared" si="103"/>
        <v>1</v>
      </c>
      <c r="L90" s="193"/>
      <c r="M90" s="225"/>
      <c r="N90" s="323">
        <f t="shared" si="104"/>
        <v>1</v>
      </c>
      <c r="O90" s="193"/>
      <c r="P90" s="225"/>
      <c r="Q90" s="323">
        <f t="shared" si="105"/>
        <v>1</v>
      </c>
      <c r="R90" s="193"/>
      <c r="S90" s="225"/>
      <c r="T90" s="323">
        <f t="shared" si="106"/>
        <v>1</v>
      </c>
      <c r="U90" s="344"/>
      <c r="V90" s="416" t="s">
        <v>196</v>
      </c>
      <c r="W90" s="324">
        <f t="shared" si="107"/>
        <v>0</v>
      </c>
      <c r="X90" s="317" t="str">
        <f t="shared" si="108"/>
        <v>Yes1</v>
      </c>
      <c r="AI90" s="325">
        <f t="shared" si="114"/>
        <v>0</v>
      </c>
      <c r="AJ90" s="325">
        <f t="shared" si="115"/>
        <v>0</v>
      </c>
      <c r="AK90" s="325">
        <f t="shared" si="116"/>
        <v>0</v>
      </c>
      <c r="AL90" s="325">
        <f t="shared" si="117"/>
        <v>0</v>
      </c>
      <c r="AM90" s="325">
        <f t="shared" si="118"/>
        <v>0</v>
      </c>
      <c r="AO90" s="325">
        <f>IF(AND(AP90+AQ90+AR90+AS90+AT90&gt;0,E90="Required",C90="Yes"),1,0)</f>
        <v>0</v>
      </c>
      <c r="AP90" s="325">
        <f>IF(AND($D$7="Programming",F90="",E90="Required",C90="Yes"),1,0)</f>
        <v>0</v>
      </c>
      <c r="AQ90" s="325">
        <f>IF(AND($D$7="Schematic Design",I90="",E90="Required",C90="Yes"),1,0)</f>
        <v>0</v>
      </c>
      <c r="AR90" s="325">
        <f>IF(AND($D$7="Detailed Design",L90="",E90="Required",C90="Yes"),1,0)</f>
        <v>0</v>
      </c>
      <c r="AS90" s="325">
        <f>IF(AND($D$7="Construction Documentation",O90="",E90="Required",C90="Yes"),1,0)</f>
        <v>0</v>
      </c>
      <c r="AT90" s="325">
        <f>IF(AND($D$7="Closeout",R90="",E90="Required",C90="Yes"),1,0)</f>
        <v>0</v>
      </c>
      <c r="AY90" s="325">
        <f t="shared" si="119"/>
        <v>1</v>
      </c>
      <c r="AZ90" s="325">
        <f t="shared" si="120"/>
        <v>0</v>
      </c>
      <c r="BA90" s="325">
        <f t="shared" si="121"/>
        <v>0</v>
      </c>
      <c r="BB90" s="325">
        <f t="shared" si="122"/>
        <v>0</v>
      </c>
      <c r="BC90" s="325">
        <f t="shared" si="123"/>
        <v>0</v>
      </c>
      <c r="BD90" s="325">
        <f t="shared" si="124"/>
        <v>0</v>
      </c>
    </row>
    <row r="91" spans="1:56" s="325" customFormat="1" ht="15.75" x14ac:dyDescent="0.2">
      <c r="A91" s="113">
        <v>1</v>
      </c>
      <c r="B91" s="113" t="s">
        <v>247</v>
      </c>
      <c r="C91" s="345" t="s">
        <v>0</v>
      </c>
      <c r="D91" s="117" t="s">
        <v>188</v>
      </c>
      <c r="E91" s="154" t="s">
        <v>351</v>
      </c>
      <c r="F91" s="193"/>
      <c r="G91" s="225"/>
      <c r="H91" s="323">
        <f t="shared" si="102"/>
        <v>1</v>
      </c>
      <c r="I91" s="193"/>
      <c r="J91" s="225"/>
      <c r="K91" s="323">
        <f t="shared" si="103"/>
        <v>1</v>
      </c>
      <c r="L91" s="193"/>
      <c r="M91" s="225"/>
      <c r="N91" s="323">
        <f t="shared" si="104"/>
        <v>1</v>
      </c>
      <c r="O91" s="193"/>
      <c r="P91" s="225"/>
      <c r="Q91" s="323">
        <f t="shared" si="105"/>
        <v>1</v>
      </c>
      <c r="R91" s="193"/>
      <c r="S91" s="225"/>
      <c r="T91" s="323">
        <f t="shared" si="106"/>
        <v>1</v>
      </c>
      <c r="U91" s="344"/>
      <c r="V91" s="416" t="s">
        <v>193</v>
      </c>
      <c r="W91" s="324">
        <f t="shared" si="107"/>
        <v>0</v>
      </c>
      <c r="X91" s="317" t="str">
        <f t="shared" si="108"/>
        <v>Yes1</v>
      </c>
      <c r="AI91" s="325">
        <f t="shared" si="114"/>
        <v>0</v>
      </c>
      <c r="AJ91" s="325">
        <f t="shared" si="115"/>
        <v>0</v>
      </c>
      <c r="AK91" s="325">
        <f t="shared" si="116"/>
        <v>0</v>
      </c>
      <c r="AL91" s="325">
        <f t="shared" si="117"/>
        <v>0</v>
      </c>
      <c r="AM91" s="325">
        <f t="shared" si="118"/>
        <v>0</v>
      </c>
      <c r="AY91" s="325">
        <f t="shared" si="119"/>
        <v>0</v>
      </c>
      <c r="AZ91" s="325">
        <f t="shared" si="120"/>
        <v>0</v>
      </c>
      <c r="BA91" s="325">
        <f t="shared" si="121"/>
        <v>0</v>
      </c>
      <c r="BB91" s="325">
        <f t="shared" si="122"/>
        <v>0</v>
      </c>
      <c r="BC91" s="325">
        <f t="shared" si="123"/>
        <v>0</v>
      </c>
      <c r="BD91" s="325">
        <f t="shared" si="124"/>
        <v>0</v>
      </c>
    </row>
    <row r="92" spans="1:56" s="325" customFormat="1" ht="15.75" x14ac:dyDescent="0.2">
      <c r="A92" s="113">
        <v>1</v>
      </c>
      <c r="B92" s="113" t="s">
        <v>248</v>
      </c>
      <c r="C92" s="345" t="s">
        <v>0</v>
      </c>
      <c r="D92" s="117" t="s">
        <v>189</v>
      </c>
      <c r="E92" s="154" t="s">
        <v>2</v>
      </c>
      <c r="F92" s="193"/>
      <c r="G92" s="225"/>
      <c r="H92" s="323">
        <f t="shared" si="102"/>
        <v>1</v>
      </c>
      <c r="I92" s="193"/>
      <c r="J92" s="225"/>
      <c r="K92" s="323">
        <f t="shared" si="103"/>
        <v>1</v>
      </c>
      <c r="L92" s="193"/>
      <c r="M92" s="225"/>
      <c r="N92" s="323">
        <f t="shared" si="104"/>
        <v>1</v>
      </c>
      <c r="O92" s="193"/>
      <c r="P92" s="225"/>
      <c r="Q92" s="323">
        <f t="shared" si="105"/>
        <v>1</v>
      </c>
      <c r="R92" s="193"/>
      <c r="S92" s="225"/>
      <c r="T92" s="323">
        <f t="shared" si="106"/>
        <v>1</v>
      </c>
      <c r="U92" s="344"/>
      <c r="V92" s="416" t="s">
        <v>193</v>
      </c>
      <c r="W92" s="324">
        <f t="shared" si="107"/>
        <v>0</v>
      </c>
      <c r="X92" s="317" t="str">
        <f t="shared" si="108"/>
        <v>Yes1</v>
      </c>
      <c r="AI92" s="325">
        <f t="shared" si="114"/>
        <v>0</v>
      </c>
      <c r="AJ92" s="325">
        <f t="shared" si="115"/>
        <v>0</v>
      </c>
      <c r="AK92" s="325">
        <f t="shared" si="116"/>
        <v>0</v>
      </c>
      <c r="AL92" s="325">
        <f t="shared" si="117"/>
        <v>0</v>
      </c>
      <c r="AM92" s="325">
        <f t="shared" si="118"/>
        <v>0</v>
      </c>
      <c r="AO92" s="325">
        <f>IF(AND(AP92+AQ92+AR92+AS92+AT92&gt;0,E92="Required",C92="Yes"),1,0)</f>
        <v>0</v>
      </c>
      <c r="AP92" s="325">
        <f>IF(AND($D$7="Programming",F92="",E92="Required",C92="Yes"),1,0)</f>
        <v>0</v>
      </c>
      <c r="AQ92" s="325">
        <f>IF(AND($D$7="Schematic Design",I92="",E92="Required",C92="Yes"),1,0)</f>
        <v>0</v>
      </c>
      <c r="AR92" s="325">
        <f>IF(AND($D$7="Detailed Design",L92="",E92="Required",C92="Yes"),1,0)</f>
        <v>0</v>
      </c>
      <c r="AS92" s="325">
        <f>IF(AND($D$7="Construction Documentation",O92="",E92="Required",C92="Yes"),1,0)</f>
        <v>0</v>
      </c>
      <c r="AT92" s="325">
        <f>IF(AND($D$7="Closeout",R92="",E92="Required",C92="Yes"),1,0)</f>
        <v>0</v>
      </c>
      <c r="AY92" s="325">
        <f t="shared" si="119"/>
        <v>1</v>
      </c>
      <c r="AZ92" s="325">
        <f t="shared" si="120"/>
        <v>0</v>
      </c>
      <c r="BA92" s="325">
        <f t="shared" si="121"/>
        <v>0</v>
      </c>
      <c r="BB92" s="325">
        <f t="shared" si="122"/>
        <v>0</v>
      </c>
      <c r="BC92" s="325">
        <f t="shared" si="123"/>
        <v>0</v>
      </c>
      <c r="BD92" s="325">
        <f t="shared" si="124"/>
        <v>0</v>
      </c>
    </row>
    <row r="93" spans="1:56" s="325" customFormat="1" ht="15.75" x14ac:dyDescent="0.2">
      <c r="A93" s="113">
        <v>1</v>
      </c>
      <c r="B93" s="113" t="s">
        <v>249</v>
      </c>
      <c r="C93" s="345" t="s">
        <v>0</v>
      </c>
      <c r="D93" s="117" t="s">
        <v>464</v>
      </c>
      <c r="E93" s="154" t="s">
        <v>351</v>
      </c>
      <c r="F93" s="193"/>
      <c r="G93" s="225"/>
      <c r="H93" s="323">
        <f t="shared" si="102"/>
        <v>1</v>
      </c>
      <c r="I93" s="193"/>
      <c r="J93" s="225"/>
      <c r="K93" s="323">
        <f t="shared" si="103"/>
        <v>1</v>
      </c>
      <c r="L93" s="193"/>
      <c r="M93" s="225"/>
      <c r="N93" s="323">
        <f t="shared" si="104"/>
        <v>1</v>
      </c>
      <c r="O93" s="193"/>
      <c r="P93" s="225"/>
      <c r="Q93" s="323">
        <f t="shared" si="105"/>
        <v>1</v>
      </c>
      <c r="R93" s="193"/>
      <c r="S93" s="225"/>
      <c r="T93" s="323">
        <f t="shared" si="106"/>
        <v>1</v>
      </c>
      <c r="U93" s="344"/>
      <c r="V93" s="416" t="s">
        <v>194</v>
      </c>
      <c r="W93" s="324">
        <f t="shared" si="107"/>
        <v>0</v>
      </c>
      <c r="X93" s="317" t="str">
        <f t="shared" si="108"/>
        <v>Yes1</v>
      </c>
      <c r="AI93" s="325">
        <f t="shared" si="114"/>
        <v>0</v>
      </c>
      <c r="AJ93" s="325">
        <f t="shared" si="115"/>
        <v>0</v>
      </c>
      <c r="AK93" s="325">
        <f t="shared" si="116"/>
        <v>0</v>
      </c>
      <c r="AL93" s="325">
        <f t="shared" si="117"/>
        <v>0</v>
      </c>
      <c r="AM93" s="325">
        <f t="shared" si="118"/>
        <v>0</v>
      </c>
      <c r="AY93" s="325">
        <f t="shared" si="119"/>
        <v>0</v>
      </c>
      <c r="AZ93" s="325">
        <f t="shared" si="120"/>
        <v>0</v>
      </c>
      <c r="BA93" s="325">
        <f t="shared" si="121"/>
        <v>0</v>
      </c>
      <c r="BB93" s="325">
        <f t="shared" si="122"/>
        <v>0</v>
      </c>
      <c r="BC93" s="325">
        <f t="shared" si="123"/>
        <v>0</v>
      </c>
      <c r="BD93" s="325">
        <f t="shared" si="124"/>
        <v>0</v>
      </c>
    </row>
    <row r="94" spans="1:56" s="325" customFormat="1" ht="15.75" customHeight="1" x14ac:dyDescent="0.2">
      <c r="A94" s="113">
        <v>1</v>
      </c>
      <c r="B94" s="113" t="s">
        <v>250</v>
      </c>
      <c r="C94" s="345" t="s">
        <v>0</v>
      </c>
      <c r="D94" s="117" t="s">
        <v>190</v>
      </c>
      <c r="E94" s="154" t="s">
        <v>352</v>
      </c>
      <c r="F94" s="193"/>
      <c r="G94" s="225"/>
      <c r="H94" s="323">
        <f t="shared" si="102"/>
        <v>1</v>
      </c>
      <c r="I94" s="193"/>
      <c r="J94" s="225"/>
      <c r="K94" s="323">
        <f t="shared" si="103"/>
        <v>1</v>
      </c>
      <c r="L94" s="193"/>
      <c r="M94" s="225"/>
      <c r="N94" s="323">
        <f t="shared" si="104"/>
        <v>1</v>
      </c>
      <c r="O94" s="193"/>
      <c r="P94" s="225"/>
      <c r="Q94" s="323">
        <f t="shared" si="105"/>
        <v>1</v>
      </c>
      <c r="R94" s="193"/>
      <c r="S94" s="225"/>
      <c r="T94" s="323">
        <f t="shared" si="106"/>
        <v>1</v>
      </c>
      <c r="U94" s="344"/>
      <c r="V94" s="416" t="s">
        <v>193</v>
      </c>
      <c r="W94" s="324">
        <f t="shared" si="107"/>
        <v>0</v>
      </c>
      <c r="X94" s="317" t="str">
        <f t="shared" si="108"/>
        <v>Yes1</v>
      </c>
      <c r="AI94" s="325">
        <f t="shared" si="114"/>
        <v>0</v>
      </c>
      <c r="AJ94" s="325">
        <f t="shared" si="115"/>
        <v>0</v>
      </c>
      <c r="AK94" s="325">
        <f t="shared" si="116"/>
        <v>0</v>
      </c>
      <c r="AL94" s="325">
        <f t="shared" si="117"/>
        <v>0</v>
      </c>
      <c r="AM94" s="325">
        <f t="shared" si="118"/>
        <v>0</v>
      </c>
      <c r="AY94" s="325">
        <f t="shared" si="119"/>
        <v>0</v>
      </c>
      <c r="AZ94" s="325">
        <f t="shared" si="120"/>
        <v>0</v>
      </c>
      <c r="BA94" s="325">
        <f t="shared" si="121"/>
        <v>0</v>
      </c>
      <c r="BB94" s="325">
        <f t="shared" si="122"/>
        <v>0</v>
      </c>
      <c r="BC94" s="325">
        <f t="shared" si="123"/>
        <v>0</v>
      </c>
      <c r="BD94" s="325">
        <f t="shared" si="124"/>
        <v>0</v>
      </c>
    </row>
    <row r="95" spans="1:56" s="325" customFormat="1" ht="15.75" x14ac:dyDescent="0.2">
      <c r="A95" s="113">
        <v>1</v>
      </c>
      <c r="B95" s="113" t="s">
        <v>294</v>
      </c>
      <c r="C95" s="345" t="s">
        <v>0</v>
      </c>
      <c r="D95" s="117" t="s">
        <v>9</v>
      </c>
      <c r="E95" s="154" t="s">
        <v>351</v>
      </c>
      <c r="F95" s="193"/>
      <c r="G95" s="225"/>
      <c r="H95" s="323">
        <f t="shared" si="102"/>
        <v>1</v>
      </c>
      <c r="I95" s="193"/>
      <c r="J95" s="225"/>
      <c r="K95" s="323">
        <f t="shared" si="103"/>
        <v>1</v>
      </c>
      <c r="L95" s="193"/>
      <c r="M95" s="225"/>
      <c r="N95" s="323">
        <f t="shared" si="104"/>
        <v>1</v>
      </c>
      <c r="O95" s="193"/>
      <c r="P95" s="225"/>
      <c r="Q95" s="323">
        <f t="shared" si="105"/>
        <v>1</v>
      </c>
      <c r="R95" s="193"/>
      <c r="S95" s="225"/>
      <c r="T95" s="323">
        <f t="shared" si="106"/>
        <v>1</v>
      </c>
      <c r="U95" s="344"/>
      <c r="V95" s="416" t="s">
        <v>196</v>
      </c>
      <c r="W95" s="324">
        <f t="shared" si="107"/>
        <v>0</v>
      </c>
      <c r="X95" s="317" t="str">
        <f t="shared" si="108"/>
        <v>Yes1</v>
      </c>
      <c r="AI95" s="325">
        <f t="shared" si="114"/>
        <v>0</v>
      </c>
      <c r="AJ95" s="325">
        <f t="shared" si="115"/>
        <v>0</v>
      </c>
      <c r="AK95" s="325">
        <f t="shared" si="116"/>
        <v>0</v>
      </c>
      <c r="AL95" s="325">
        <f t="shared" si="117"/>
        <v>0</v>
      </c>
      <c r="AM95" s="325">
        <f t="shared" si="118"/>
        <v>0</v>
      </c>
      <c r="AY95" s="325">
        <f t="shared" si="119"/>
        <v>0</v>
      </c>
      <c r="AZ95" s="325">
        <f t="shared" si="120"/>
        <v>0</v>
      </c>
      <c r="BA95" s="325">
        <f t="shared" si="121"/>
        <v>0</v>
      </c>
      <c r="BB95" s="325">
        <f t="shared" si="122"/>
        <v>0</v>
      </c>
      <c r="BC95" s="325">
        <f t="shared" si="123"/>
        <v>0</v>
      </c>
      <c r="BD95" s="325">
        <f t="shared" si="124"/>
        <v>0</v>
      </c>
    </row>
    <row r="96" spans="1:56" s="325" customFormat="1" ht="15.75" x14ac:dyDescent="0.2">
      <c r="A96" s="113">
        <v>1</v>
      </c>
      <c r="B96" s="113" t="s">
        <v>295</v>
      </c>
      <c r="C96" s="345" t="s">
        <v>0</v>
      </c>
      <c r="D96" s="117" t="s">
        <v>10</v>
      </c>
      <c r="E96" s="154" t="s">
        <v>351</v>
      </c>
      <c r="F96" s="193"/>
      <c r="G96" s="225"/>
      <c r="H96" s="323">
        <f t="shared" si="102"/>
        <v>1</v>
      </c>
      <c r="I96" s="193"/>
      <c r="J96" s="225"/>
      <c r="K96" s="323">
        <f t="shared" si="103"/>
        <v>1</v>
      </c>
      <c r="L96" s="193"/>
      <c r="M96" s="225"/>
      <c r="N96" s="323">
        <f t="shared" si="104"/>
        <v>1</v>
      </c>
      <c r="O96" s="193"/>
      <c r="P96" s="225"/>
      <c r="Q96" s="323">
        <f t="shared" si="105"/>
        <v>1</v>
      </c>
      <c r="R96" s="193"/>
      <c r="S96" s="225"/>
      <c r="T96" s="323">
        <f t="shared" si="106"/>
        <v>1</v>
      </c>
      <c r="U96" s="344"/>
      <c r="V96" s="416" t="s">
        <v>196</v>
      </c>
      <c r="W96" s="324">
        <f t="shared" si="107"/>
        <v>0</v>
      </c>
      <c r="X96" s="317" t="str">
        <f t="shared" si="108"/>
        <v>Yes1</v>
      </c>
      <c r="AI96" s="325">
        <f t="shared" si="114"/>
        <v>0</v>
      </c>
      <c r="AJ96" s="325">
        <f t="shared" si="115"/>
        <v>0</v>
      </c>
      <c r="AK96" s="325">
        <f t="shared" si="116"/>
        <v>0</v>
      </c>
      <c r="AL96" s="325">
        <f t="shared" si="117"/>
        <v>0</v>
      </c>
      <c r="AM96" s="325">
        <f t="shared" si="118"/>
        <v>0</v>
      </c>
      <c r="AY96" s="325">
        <f t="shared" si="119"/>
        <v>0</v>
      </c>
      <c r="AZ96" s="325">
        <f t="shared" si="120"/>
        <v>0</v>
      </c>
      <c r="BA96" s="325">
        <f t="shared" si="121"/>
        <v>0</v>
      </c>
      <c r="BB96" s="325">
        <f t="shared" si="122"/>
        <v>0</v>
      </c>
      <c r="BC96" s="325">
        <f t="shared" si="123"/>
        <v>0</v>
      </c>
      <c r="BD96" s="325">
        <f t="shared" si="124"/>
        <v>0</v>
      </c>
    </row>
    <row r="97" spans="1:258" ht="39.950000000000003" customHeight="1" x14ac:dyDescent="0.2">
      <c r="A97" s="133" t="s">
        <v>191</v>
      </c>
      <c r="B97" s="134"/>
      <c r="C97" s="133"/>
      <c r="D97" s="135" t="s">
        <v>272</v>
      </c>
      <c r="E97" s="159" t="s">
        <v>273</v>
      </c>
      <c r="F97" s="178">
        <f t="shared" ref="F97:S97" si="125">SUM(F99:F104)</f>
        <v>0</v>
      </c>
      <c r="G97" s="223">
        <f t="shared" si="125"/>
        <v>0</v>
      </c>
      <c r="H97" s="172">
        <f t="shared" si="125"/>
        <v>5</v>
      </c>
      <c r="I97" s="178">
        <f t="shared" si="125"/>
        <v>0</v>
      </c>
      <c r="J97" s="223">
        <f t="shared" si="125"/>
        <v>0</v>
      </c>
      <c r="K97" s="172">
        <f t="shared" ref="K97" si="126">SUM(K99:K104)</f>
        <v>5</v>
      </c>
      <c r="L97" s="178">
        <f>SUM(L99:L104)</f>
        <v>0</v>
      </c>
      <c r="M97" s="223">
        <f>SUM(M99:M104)</f>
        <v>0</v>
      </c>
      <c r="N97" s="172">
        <f t="shared" ref="N97" si="127">SUM(N99:N104)</f>
        <v>5</v>
      </c>
      <c r="O97" s="178">
        <f t="shared" si="125"/>
        <v>0</v>
      </c>
      <c r="P97" s="223">
        <f t="shared" si="125"/>
        <v>0</v>
      </c>
      <c r="Q97" s="172">
        <f t="shared" ref="Q97" si="128">SUM(Q99:Q104)</f>
        <v>5</v>
      </c>
      <c r="R97" s="178">
        <f t="shared" si="125"/>
        <v>0</v>
      </c>
      <c r="S97" s="223">
        <f t="shared" si="125"/>
        <v>0</v>
      </c>
      <c r="T97" s="172">
        <f t="shared" ref="T97" si="129">SUM(T99:T104)</f>
        <v>5</v>
      </c>
      <c r="U97" s="189"/>
      <c r="V97" s="751" t="s">
        <v>201</v>
      </c>
      <c r="W97" s="752"/>
      <c r="X97" s="125"/>
      <c r="AY97" s="325">
        <f t="shared" si="119"/>
        <v>0</v>
      </c>
      <c r="AZ97" s="325">
        <f t="shared" si="120"/>
        <v>0</v>
      </c>
      <c r="BA97" s="325">
        <f t="shared" si="121"/>
        <v>0</v>
      </c>
      <c r="BB97" s="325">
        <f t="shared" si="122"/>
        <v>0</v>
      </c>
      <c r="BC97" s="325">
        <f t="shared" si="123"/>
        <v>0</v>
      </c>
      <c r="BD97" s="325">
        <f t="shared" si="124"/>
        <v>0</v>
      </c>
    </row>
    <row r="98" spans="1:258" s="337" customFormat="1" ht="66.75" x14ac:dyDescent="0.2">
      <c r="A98" s="111" t="s">
        <v>350</v>
      </c>
      <c r="B98" s="111" t="s">
        <v>139</v>
      </c>
      <c r="C98" s="111" t="s">
        <v>326</v>
      </c>
      <c r="D98" s="112" t="s">
        <v>3</v>
      </c>
      <c r="E98" s="153" t="s">
        <v>300</v>
      </c>
      <c r="F98" s="179" t="s">
        <v>0</v>
      </c>
      <c r="G98" s="224" t="s">
        <v>12</v>
      </c>
      <c r="H98" s="173" t="s">
        <v>1</v>
      </c>
      <c r="I98" s="179" t="s">
        <v>0</v>
      </c>
      <c r="J98" s="224" t="s">
        <v>12</v>
      </c>
      <c r="K98" s="173" t="s">
        <v>1</v>
      </c>
      <c r="L98" s="179" t="s">
        <v>0</v>
      </c>
      <c r="M98" s="224" t="s">
        <v>12</v>
      </c>
      <c r="N98" s="173" t="s">
        <v>1</v>
      </c>
      <c r="O98" s="179" t="s">
        <v>0</v>
      </c>
      <c r="P98" s="224" t="s">
        <v>12</v>
      </c>
      <c r="Q98" s="173" t="s">
        <v>1</v>
      </c>
      <c r="R98" s="179" t="s">
        <v>0</v>
      </c>
      <c r="S98" s="224" t="s">
        <v>12</v>
      </c>
      <c r="T98" s="173" t="s">
        <v>1</v>
      </c>
      <c r="U98" s="184" t="s">
        <v>788</v>
      </c>
      <c r="V98" s="114" t="s">
        <v>264</v>
      </c>
      <c r="W98" s="115" t="s">
        <v>114</v>
      </c>
      <c r="X98" s="126"/>
      <c r="Y98" s="327"/>
      <c r="Z98" s="328"/>
      <c r="AA98" s="329"/>
      <c r="AB98" s="329"/>
      <c r="AC98" s="330"/>
      <c r="AE98" s="332"/>
      <c r="AF98" s="333"/>
      <c r="AG98" s="332"/>
      <c r="AH98" s="334"/>
      <c r="AI98" s="335"/>
      <c r="AJ98" s="332"/>
      <c r="AK98" s="333"/>
      <c r="AL98" s="332"/>
      <c r="AM98" s="336"/>
      <c r="AN98" s="329"/>
      <c r="AO98" s="329"/>
      <c r="AP98" s="327"/>
      <c r="AQ98" s="328"/>
      <c r="AR98" s="329"/>
      <c r="AS98" s="329"/>
      <c r="AT98" s="330"/>
      <c r="AU98" s="331"/>
      <c r="AV98" s="332"/>
      <c r="AW98" s="333"/>
      <c r="AX98" s="332"/>
      <c r="AY98" s="325">
        <f t="shared" si="119"/>
        <v>0</v>
      </c>
      <c r="AZ98" s="325">
        <f t="shared" si="120"/>
        <v>0</v>
      </c>
      <c r="BA98" s="325">
        <f t="shared" si="121"/>
        <v>0</v>
      </c>
      <c r="BB98" s="325">
        <f t="shared" si="122"/>
        <v>0</v>
      </c>
      <c r="BC98" s="325">
        <f t="shared" si="123"/>
        <v>0</v>
      </c>
      <c r="BD98" s="325">
        <f t="shared" si="124"/>
        <v>0</v>
      </c>
      <c r="BE98" s="329"/>
      <c r="BF98" s="327"/>
      <c r="BG98" s="328"/>
      <c r="BH98" s="329"/>
      <c r="BI98" s="329"/>
      <c r="BJ98" s="330"/>
      <c r="BK98" s="331"/>
      <c r="BL98" s="332"/>
      <c r="BM98" s="333"/>
      <c r="BN98" s="332"/>
      <c r="BO98" s="334"/>
      <c r="BP98" s="335"/>
      <c r="BQ98" s="332"/>
      <c r="BR98" s="333"/>
      <c r="BS98" s="332"/>
      <c r="BT98" s="336"/>
      <c r="BU98" s="329"/>
      <c r="BV98" s="327"/>
      <c r="BW98" s="328"/>
      <c r="BX98" s="329"/>
      <c r="BY98" s="329"/>
      <c r="BZ98" s="330"/>
      <c r="CA98" s="331"/>
      <c r="CB98" s="332"/>
      <c r="CC98" s="333"/>
      <c r="CD98" s="332"/>
      <c r="CE98" s="334"/>
      <c r="CF98" s="335"/>
      <c r="CG98" s="332"/>
      <c r="CH98" s="333"/>
      <c r="CI98" s="332"/>
      <c r="CJ98" s="336"/>
      <c r="CK98" s="329"/>
      <c r="CL98" s="327"/>
      <c r="CM98" s="328"/>
      <c r="CN98" s="329"/>
      <c r="CO98" s="329"/>
      <c r="CP98" s="330"/>
      <c r="CQ98" s="331"/>
      <c r="CR98" s="332"/>
      <c r="CS98" s="333"/>
      <c r="CT98" s="332"/>
      <c r="CU98" s="334"/>
      <c r="CV98" s="335"/>
      <c r="CW98" s="332"/>
      <c r="CX98" s="333"/>
      <c r="CY98" s="332"/>
      <c r="CZ98" s="336"/>
      <c r="DA98" s="329"/>
      <c r="DB98" s="327"/>
      <c r="DC98" s="328"/>
      <c r="DD98" s="329"/>
      <c r="DE98" s="329"/>
      <c r="DF98" s="330"/>
      <c r="DG98" s="331"/>
      <c r="DH98" s="332"/>
      <c r="DI98" s="333"/>
      <c r="DJ98" s="332"/>
      <c r="DK98" s="334"/>
      <c r="DL98" s="335"/>
      <c r="DM98" s="332"/>
      <c r="DN98" s="333"/>
      <c r="DO98" s="332"/>
      <c r="DP98" s="336"/>
      <c r="DQ98" s="329"/>
      <c r="DR98" s="327"/>
      <c r="DS98" s="328"/>
      <c r="DT98" s="329"/>
      <c r="DU98" s="329"/>
      <c r="DV98" s="330"/>
      <c r="DW98" s="331"/>
      <c r="DX98" s="332"/>
      <c r="DY98" s="333"/>
      <c r="DZ98" s="332"/>
      <c r="EA98" s="334"/>
      <c r="EB98" s="335"/>
      <c r="EC98" s="332"/>
      <c r="ED98" s="333"/>
      <c r="EE98" s="332"/>
      <c r="EF98" s="336"/>
      <c r="EG98" s="329"/>
      <c r="EH98" s="327"/>
      <c r="EI98" s="328"/>
      <c r="EJ98" s="329"/>
      <c r="EK98" s="329"/>
      <c r="EL98" s="330"/>
      <c r="EM98" s="331"/>
      <c r="EN98" s="332"/>
      <c r="EO98" s="333"/>
      <c r="EP98" s="332"/>
      <c r="EQ98" s="334"/>
      <c r="ER98" s="335"/>
      <c r="ES98" s="332"/>
      <c r="ET98" s="333"/>
      <c r="EU98" s="332"/>
      <c r="EV98" s="336"/>
      <c r="EW98" s="329"/>
      <c r="EX98" s="327"/>
      <c r="EY98" s="328"/>
      <c r="EZ98" s="329"/>
      <c r="FA98" s="329"/>
      <c r="FB98" s="330"/>
      <c r="FC98" s="331"/>
      <c r="FD98" s="332"/>
      <c r="FE98" s="333"/>
      <c r="FF98" s="332"/>
      <c r="FG98" s="334"/>
      <c r="FH98" s="335"/>
      <c r="FI98" s="332"/>
      <c r="FJ98" s="333"/>
      <c r="FK98" s="332"/>
      <c r="FL98" s="336"/>
      <c r="FM98" s="329"/>
      <c r="FN98" s="327"/>
      <c r="FO98" s="328"/>
      <c r="FP98" s="329"/>
      <c r="FQ98" s="329"/>
      <c r="FR98" s="330"/>
      <c r="FS98" s="331"/>
      <c r="FT98" s="332"/>
      <c r="FU98" s="333"/>
      <c r="FV98" s="332"/>
      <c r="FW98" s="334"/>
      <c r="FX98" s="335"/>
      <c r="FY98" s="332"/>
      <c r="FZ98" s="333"/>
      <c r="GA98" s="332"/>
      <c r="GB98" s="336"/>
      <c r="GC98" s="329"/>
      <c r="GD98" s="327"/>
      <c r="GE98" s="328"/>
      <c r="GF98" s="329"/>
      <c r="GG98" s="329"/>
      <c r="GH98" s="330"/>
      <c r="GI98" s="331"/>
      <c r="GJ98" s="332"/>
      <c r="GK98" s="333"/>
      <c r="GL98" s="332"/>
      <c r="GM98" s="334"/>
      <c r="GN98" s="335"/>
      <c r="GO98" s="332"/>
      <c r="GP98" s="333"/>
      <c r="GQ98" s="332"/>
      <c r="GR98" s="336"/>
      <c r="GS98" s="329"/>
      <c r="GT98" s="327"/>
      <c r="GU98" s="328"/>
      <c r="GV98" s="329"/>
      <c r="GW98" s="329"/>
      <c r="GX98" s="330"/>
      <c r="GY98" s="331"/>
      <c r="GZ98" s="332"/>
      <c r="HA98" s="333"/>
      <c r="HB98" s="332"/>
      <c r="HC98" s="334"/>
      <c r="HD98" s="335"/>
      <c r="HE98" s="332"/>
      <c r="HF98" s="333"/>
      <c r="HG98" s="332"/>
      <c r="HH98" s="336"/>
      <c r="HI98" s="329"/>
      <c r="HJ98" s="327"/>
      <c r="HK98" s="328"/>
      <c r="HL98" s="329"/>
      <c r="HM98" s="329"/>
      <c r="HN98" s="330"/>
      <c r="HO98" s="331"/>
      <c r="HP98" s="332"/>
      <c r="HQ98" s="333"/>
      <c r="HR98" s="332"/>
      <c r="HS98" s="334"/>
      <c r="HT98" s="335"/>
      <c r="HU98" s="332"/>
      <c r="HV98" s="333"/>
      <c r="HW98" s="332"/>
      <c r="HX98" s="336"/>
      <c r="HY98" s="329"/>
      <c r="HZ98" s="327"/>
      <c r="IA98" s="328"/>
      <c r="IB98" s="329"/>
      <c r="IC98" s="329"/>
      <c r="ID98" s="330"/>
      <c r="IE98" s="331"/>
      <c r="IF98" s="332"/>
      <c r="IG98" s="333"/>
      <c r="IH98" s="332"/>
      <c r="II98" s="334"/>
      <c r="IJ98" s="335"/>
      <c r="IK98" s="332"/>
      <c r="IL98" s="333"/>
      <c r="IM98" s="332"/>
      <c r="IN98" s="336"/>
      <c r="IO98" s="329"/>
      <c r="IP98" s="327"/>
      <c r="IQ98" s="328"/>
      <c r="IR98" s="329"/>
      <c r="IS98" s="329"/>
      <c r="IT98" s="330"/>
      <c r="IU98" s="331"/>
      <c r="IV98" s="332"/>
      <c r="IW98" s="333"/>
      <c r="IX98" s="332"/>
    </row>
    <row r="99" spans="1:258" s="325" customFormat="1" ht="15.75" x14ac:dyDescent="0.2">
      <c r="A99" s="113">
        <v>1</v>
      </c>
      <c r="B99" s="148" t="s">
        <v>257</v>
      </c>
      <c r="C99" s="345" t="s">
        <v>0</v>
      </c>
      <c r="D99" s="477" t="s">
        <v>192</v>
      </c>
      <c r="E99" s="154" t="s">
        <v>351</v>
      </c>
      <c r="F99" s="193"/>
      <c r="G99" s="225"/>
      <c r="H99" s="323">
        <f t="shared" ref="H99:H103" si="130">$A99-F99-G99</f>
        <v>1</v>
      </c>
      <c r="I99" s="193"/>
      <c r="J99" s="225"/>
      <c r="K99" s="323">
        <f t="shared" ref="K99:K103" si="131">$A99-I99-J99</f>
        <v>1</v>
      </c>
      <c r="L99" s="193"/>
      <c r="M99" s="225"/>
      <c r="N99" s="323">
        <f t="shared" ref="N99:N103" si="132">$A99-L99-M99</f>
        <v>1</v>
      </c>
      <c r="O99" s="193"/>
      <c r="P99" s="225"/>
      <c r="Q99" s="323">
        <f t="shared" ref="Q99:Q103" si="133">$A99-O99-P99</f>
        <v>1</v>
      </c>
      <c r="R99" s="193"/>
      <c r="S99" s="225"/>
      <c r="T99" s="323">
        <f t="shared" ref="T99:T103" si="134">$A99-R99-S99</f>
        <v>1</v>
      </c>
      <c r="U99" s="344"/>
      <c r="V99" s="416" t="s">
        <v>119</v>
      </c>
      <c r="W99" s="324">
        <f t="shared" ref="W99:W103" si="135">INDEX($S$1:$V$10, MATCH(V99,$S$1:$S$10,), MATCH("Initials",$S$1:$V$1,))</f>
        <v>0</v>
      </c>
      <c r="X99" s="317" t="str">
        <f t="shared" ref="X99:X103" si="136">IF(C99="Yes","Yes1","Zero1")</f>
        <v>Yes1</v>
      </c>
      <c r="AI99" s="325">
        <f t="shared" ref="AI99" si="137">IF(AND(F99&gt;0,C99="No"),"ERROR",0)</f>
        <v>0</v>
      </c>
      <c r="AJ99" s="325">
        <f t="shared" ref="AJ99" si="138">IF(AND(I99&gt;0,$C99="No"),"ERROR",0)</f>
        <v>0</v>
      </c>
      <c r="AK99" s="325">
        <f t="shared" ref="AK99" si="139">IF(AND(L99&gt;0,$C99="No"),"ERROR",0)</f>
        <v>0</v>
      </c>
      <c r="AL99" s="325">
        <f t="shared" ref="AL99" si="140">IF(AND(O99&gt;0,$C99="No"),"ERROR",0)</f>
        <v>0</v>
      </c>
      <c r="AM99" s="325">
        <f t="shared" ref="AM99" si="141">IF(AND(R99&gt;0,$C99="No"),"ERROR",0)</f>
        <v>0</v>
      </c>
      <c r="AY99" s="325">
        <f t="shared" si="119"/>
        <v>0</v>
      </c>
      <c r="AZ99" s="325">
        <f t="shared" si="120"/>
        <v>0</v>
      </c>
      <c r="BA99" s="325">
        <f t="shared" si="121"/>
        <v>0</v>
      </c>
      <c r="BB99" s="325">
        <f t="shared" si="122"/>
        <v>0</v>
      </c>
      <c r="BC99" s="325">
        <f t="shared" si="123"/>
        <v>0</v>
      </c>
      <c r="BD99" s="325">
        <f t="shared" si="124"/>
        <v>0</v>
      </c>
    </row>
    <row r="100" spans="1:258" s="325" customFormat="1" ht="15.75" x14ac:dyDescent="0.2">
      <c r="A100" s="113">
        <v>1</v>
      </c>
      <c r="B100" s="148" t="s">
        <v>258</v>
      </c>
      <c r="C100" s="345" t="s">
        <v>0</v>
      </c>
      <c r="D100" s="477" t="s">
        <v>192</v>
      </c>
      <c r="E100" s="154" t="s">
        <v>352</v>
      </c>
      <c r="F100" s="193"/>
      <c r="G100" s="225"/>
      <c r="H100" s="323">
        <f t="shared" si="130"/>
        <v>1</v>
      </c>
      <c r="I100" s="193"/>
      <c r="J100" s="225"/>
      <c r="K100" s="323">
        <f t="shared" si="131"/>
        <v>1</v>
      </c>
      <c r="L100" s="193"/>
      <c r="M100" s="225"/>
      <c r="N100" s="323">
        <f t="shared" si="132"/>
        <v>1</v>
      </c>
      <c r="O100" s="193"/>
      <c r="P100" s="225"/>
      <c r="Q100" s="323">
        <f t="shared" si="133"/>
        <v>1</v>
      </c>
      <c r="R100" s="193"/>
      <c r="S100" s="225"/>
      <c r="T100" s="323">
        <f t="shared" si="134"/>
        <v>1</v>
      </c>
      <c r="U100" s="344"/>
      <c r="V100" s="416" t="s">
        <v>119</v>
      </c>
      <c r="W100" s="324">
        <f t="shared" si="135"/>
        <v>0</v>
      </c>
      <c r="X100" s="317" t="str">
        <f t="shared" si="136"/>
        <v>Yes1</v>
      </c>
      <c r="AI100" s="325">
        <f t="shared" ref="AI100:AI103" si="142">IF(AND(F100&gt;0,C100="No"),"ERROR",0)</f>
        <v>0</v>
      </c>
      <c r="AJ100" s="325">
        <f t="shared" ref="AJ100:AJ103" si="143">IF(AND(I100&gt;0,$C100="No"),"ERROR",0)</f>
        <v>0</v>
      </c>
      <c r="AK100" s="325">
        <f t="shared" ref="AK100:AK103" si="144">IF(AND(L100&gt;0,$C100="No"),"ERROR",0)</f>
        <v>0</v>
      </c>
      <c r="AL100" s="325">
        <f t="shared" ref="AL100:AL103" si="145">IF(AND(O100&gt;0,$C100="No"),"ERROR",0)</f>
        <v>0</v>
      </c>
      <c r="AM100" s="325">
        <f t="shared" ref="AM100:AM103" si="146">IF(AND(R100&gt;0,$C100="No"),"ERROR",0)</f>
        <v>0</v>
      </c>
      <c r="AY100" s="325">
        <f t="shared" si="119"/>
        <v>0</v>
      </c>
      <c r="AZ100" s="325">
        <f t="shared" si="120"/>
        <v>0</v>
      </c>
      <c r="BA100" s="325">
        <f t="shared" si="121"/>
        <v>0</v>
      </c>
      <c r="BB100" s="325">
        <f t="shared" si="122"/>
        <v>0</v>
      </c>
      <c r="BC100" s="325">
        <f t="shared" si="123"/>
        <v>0</v>
      </c>
      <c r="BD100" s="325">
        <f t="shared" si="124"/>
        <v>0</v>
      </c>
    </row>
    <row r="101" spans="1:258" s="325" customFormat="1" ht="15.75" x14ac:dyDescent="0.2">
      <c r="A101" s="113">
        <v>1</v>
      </c>
      <c r="B101" s="148" t="s">
        <v>259</v>
      </c>
      <c r="C101" s="345" t="s">
        <v>0</v>
      </c>
      <c r="D101" s="477" t="s">
        <v>192</v>
      </c>
      <c r="E101" s="154" t="s">
        <v>352</v>
      </c>
      <c r="F101" s="193"/>
      <c r="G101" s="225"/>
      <c r="H101" s="323">
        <f t="shared" si="130"/>
        <v>1</v>
      </c>
      <c r="I101" s="193"/>
      <c r="J101" s="225"/>
      <c r="K101" s="323">
        <f t="shared" si="131"/>
        <v>1</v>
      </c>
      <c r="L101" s="193"/>
      <c r="M101" s="225"/>
      <c r="N101" s="323">
        <f t="shared" si="132"/>
        <v>1</v>
      </c>
      <c r="O101" s="193"/>
      <c r="P101" s="225"/>
      <c r="Q101" s="323">
        <f t="shared" si="133"/>
        <v>1</v>
      </c>
      <c r="R101" s="193"/>
      <c r="S101" s="225"/>
      <c r="T101" s="323">
        <f t="shared" si="134"/>
        <v>1</v>
      </c>
      <c r="U101" s="344"/>
      <c r="V101" s="416" t="s">
        <v>119</v>
      </c>
      <c r="W101" s="324">
        <f t="shared" si="135"/>
        <v>0</v>
      </c>
      <c r="X101" s="317" t="str">
        <f t="shared" si="136"/>
        <v>Yes1</v>
      </c>
      <c r="AI101" s="325">
        <f t="shared" si="142"/>
        <v>0</v>
      </c>
      <c r="AJ101" s="325">
        <f t="shared" si="143"/>
        <v>0</v>
      </c>
      <c r="AK101" s="325">
        <f t="shared" si="144"/>
        <v>0</v>
      </c>
      <c r="AL101" s="325">
        <f t="shared" si="145"/>
        <v>0</v>
      </c>
      <c r="AM101" s="325">
        <f t="shared" si="146"/>
        <v>0</v>
      </c>
      <c r="AY101" s="325">
        <f t="shared" si="119"/>
        <v>0</v>
      </c>
      <c r="AZ101" s="325">
        <f t="shared" si="120"/>
        <v>0</v>
      </c>
      <c r="BA101" s="325">
        <f t="shared" si="121"/>
        <v>0</v>
      </c>
      <c r="BB101" s="325">
        <f t="shared" si="122"/>
        <v>0</v>
      </c>
      <c r="BC101" s="325">
        <f t="shared" si="123"/>
        <v>0</v>
      </c>
      <c r="BD101" s="325">
        <f t="shared" si="124"/>
        <v>0</v>
      </c>
    </row>
    <row r="102" spans="1:258" s="325" customFormat="1" ht="15.75" customHeight="1" x14ac:dyDescent="0.2">
      <c r="A102" s="113">
        <v>1</v>
      </c>
      <c r="B102" s="148" t="s">
        <v>260</v>
      </c>
      <c r="C102" s="345" t="s">
        <v>0</v>
      </c>
      <c r="D102" s="477" t="s">
        <v>192</v>
      </c>
      <c r="E102" s="154" t="s">
        <v>352</v>
      </c>
      <c r="F102" s="193"/>
      <c r="G102" s="225"/>
      <c r="H102" s="323">
        <f t="shared" si="130"/>
        <v>1</v>
      </c>
      <c r="I102" s="193"/>
      <c r="J102" s="225"/>
      <c r="K102" s="323">
        <f t="shared" si="131"/>
        <v>1</v>
      </c>
      <c r="L102" s="193"/>
      <c r="M102" s="225"/>
      <c r="N102" s="323">
        <f t="shared" si="132"/>
        <v>1</v>
      </c>
      <c r="O102" s="193"/>
      <c r="P102" s="225"/>
      <c r="Q102" s="323">
        <f t="shared" si="133"/>
        <v>1</v>
      </c>
      <c r="R102" s="193"/>
      <c r="S102" s="225"/>
      <c r="T102" s="323">
        <f t="shared" si="134"/>
        <v>1</v>
      </c>
      <c r="U102" s="344"/>
      <c r="V102" s="416" t="s">
        <v>119</v>
      </c>
      <c r="W102" s="324">
        <f t="shared" si="135"/>
        <v>0</v>
      </c>
      <c r="X102" s="317" t="str">
        <f t="shared" si="136"/>
        <v>Yes1</v>
      </c>
      <c r="AI102" s="325">
        <f t="shared" si="142"/>
        <v>0</v>
      </c>
      <c r="AJ102" s="325">
        <f t="shared" si="143"/>
        <v>0</v>
      </c>
      <c r="AK102" s="325">
        <f t="shared" si="144"/>
        <v>0</v>
      </c>
      <c r="AL102" s="325">
        <f t="shared" si="145"/>
        <v>0</v>
      </c>
      <c r="AM102" s="325">
        <f t="shared" si="146"/>
        <v>0</v>
      </c>
      <c r="AY102" s="325">
        <f t="shared" si="119"/>
        <v>0</v>
      </c>
      <c r="AZ102" s="325">
        <f t="shared" si="120"/>
        <v>0</v>
      </c>
      <c r="BA102" s="325">
        <f t="shared" si="121"/>
        <v>0</v>
      </c>
      <c r="BB102" s="325">
        <f t="shared" si="122"/>
        <v>0</v>
      </c>
      <c r="BC102" s="325">
        <f t="shared" si="123"/>
        <v>0</v>
      </c>
      <c r="BD102" s="325">
        <f t="shared" si="124"/>
        <v>0</v>
      </c>
    </row>
    <row r="103" spans="1:258" s="325" customFormat="1" ht="15.75" x14ac:dyDescent="0.2">
      <c r="A103" s="113">
        <v>1</v>
      </c>
      <c r="B103" s="113" t="s">
        <v>261</v>
      </c>
      <c r="C103" s="345" t="s">
        <v>0</v>
      </c>
      <c r="D103" s="117" t="s">
        <v>8</v>
      </c>
      <c r="E103" s="154" t="s">
        <v>351</v>
      </c>
      <c r="F103" s="193"/>
      <c r="G103" s="225"/>
      <c r="H103" s="323">
        <f t="shared" si="130"/>
        <v>1</v>
      </c>
      <c r="I103" s="193"/>
      <c r="J103" s="225"/>
      <c r="K103" s="323">
        <f t="shared" si="131"/>
        <v>1</v>
      </c>
      <c r="L103" s="193"/>
      <c r="M103" s="225"/>
      <c r="N103" s="323">
        <f t="shared" si="132"/>
        <v>1</v>
      </c>
      <c r="O103" s="193"/>
      <c r="P103" s="225"/>
      <c r="Q103" s="323">
        <f t="shared" si="133"/>
        <v>1</v>
      </c>
      <c r="R103" s="193"/>
      <c r="S103" s="225"/>
      <c r="T103" s="323">
        <f t="shared" si="134"/>
        <v>1</v>
      </c>
      <c r="U103" s="344"/>
      <c r="V103" s="416" t="s">
        <v>119</v>
      </c>
      <c r="W103" s="324">
        <f t="shared" si="135"/>
        <v>0</v>
      </c>
      <c r="X103" s="317" t="str">
        <f t="shared" si="136"/>
        <v>Yes1</v>
      </c>
      <c r="AI103" s="325">
        <f t="shared" si="142"/>
        <v>0</v>
      </c>
      <c r="AJ103" s="325">
        <f t="shared" si="143"/>
        <v>0</v>
      </c>
      <c r="AK103" s="325">
        <f t="shared" si="144"/>
        <v>0</v>
      </c>
      <c r="AL103" s="325">
        <f t="shared" si="145"/>
        <v>0</v>
      </c>
      <c r="AM103" s="325">
        <f t="shared" si="146"/>
        <v>0</v>
      </c>
      <c r="AY103" s="325">
        <f t="shared" si="119"/>
        <v>0</v>
      </c>
      <c r="AZ103" s="325">
        <f t="shared" si="120"/>
        <v>0</v>
      </c>
      <c r="BA103" s="325">
        <f t="shared" si="121"/>
        <v>0</v>
      </c>
      <c r="BB103" s="325">
        <f t="shared" si="122"/>
        <v>0</v>
      </c>
      <c r="BC103" s="325">
        <f t="shared" si="123"/>
        <v>0</v>
      </c>
      <c r="BD103" s="325">
        <f t="shared" si="124"/>
        <v>0</v>
      </c>
    </row>
    <row r="104" spans="1:258" x14ac:dyDescent="0.2">
      <c r="A104" s="136"/>
      <c r="B104" s="137"/>
      <c r="C104" s="136"/>
      <c r="D104" s="138"/>
      <c r="E104" s="160"/>
      <c r="F104" s="180"/>
      <c r="G104" s="226"/>
      <c r="H104" s="174"/>
      <c r="I104" s="180"/>
      <c r="J104" s="226"/>
      <c r="K104" s="174"/>
      <c r="L104" s="180"/>
      <c r="M104" s="226"/>
      <c r="N104" s="174"/>
      <c r="O104" s="180"/>
      <c r="P104" s="226"/>
      <c r="Q104" s="174"/>
      <c r="R104" s="180"/>
      <c r="S104" s="226"/>
      <c r="T104" s="174"/>
      <c r="U104" s="190"/>
      <c r="V104" s="139"/>
      <c r="W104" s="140"/>
      <c r="X104" s="141"/>
    </row>
    <row r="105" spans="1:258" x14ac:dyDescent="0.2">
      <c r="A105" s="142"/>
      <c r="B105" s="142"/>
      <c r="C105" s="142"/>
      <c r="D105" s="143"/>
      <c r="E105" s="161"/>
      <c r="F105" s="181"/>
      <c r="G105" s="227"/>
      <c r="H105" s="175"/>
      <c r="I105" s="181"/>
      <c r="J105" s="227"/>
      <c r="K105" s="175"/>
      <c r="L105" s="181"/>
      <c r="M105" s="227"/>
      <c r="N105" s="175"/>
      <c r="O105" s="181"/>
      <c r="P105" s="227"/>
      <c r="Q105" s="175"/>
      <c r="R105" s="181"/>
      <c r="S105" s="227"/>
      <c r="T105" s="175"/>
      <c r="U105" s="191"/>
      <c r="V105" s="144"/>
      <c r="W105" s="140"/>
      <c r="X105" s="141"/>
    </row>
    <row r="106" spans="1:258" ht="42" customHeight="1" thickBot="1" x14ac:dyDescent="0.25">
      <c r="A106" s="145"/>
      <c r="B106" s="146"/>
      <c r="C106" s="145"/>
      <c r="D106" s="147"/>
      <c r="E106" s="164" t="s">
        <v>274</v>
      </c>
      <c r="F106" s="182">
        <f t="shared" ref="F106:T106" si="147">SUM(F15,F38,F46,F65,F76,F97)</f>
        <v>0</v>
      </c>
      <c r="G106" s="228">
        <f t="shared" si="147"/>
        <v>0</v>
      </c>
      <c r="H106" s="176">
        <f t="shared" si="147"/>
        <v>105</v>
      </c>
      <c r="I106" s="182">
        <f t="shared" si="147"/>
        <v>0</v>
      </c>
      <c r="J106" s="228">
        <f t="shared" si="147"/>
        <v>0</v>
      </c>
      <c r="K106" s="176">
        <f t="shared" si="147"/>
        <v>105</v>
      </c>
      <c r="L106" s="182">
        <f t="shared" si="147"/>
        <v>0</v>
      </c>
      <c r="M106" s="228">
        <f t="shared" si="147"/>
        <v>0</v>
      </c>
      <c r="N106" s="176">
        <f t="shared" si="147"/>
        <v>105</v>
      </c>
      <c r="O106" s="182">
        <f t="shared" si="147"/>
        <v>0</v>
      </c>
      <c r="P106" s="228">
        <f t="shared" si="147"/>
        <v>0</v>
      </c>
      <c r="Q106" s="176">
        <f t="shared" si="147"/>
        <v>105</v>
      </c>
      <c r="R106" s="182">
        <f t="shared" si="147"/>
        <v>0</v>
      </c>
      <c r="S106" s="228">
        <f t="shared" si="147"/>
        <v>0</v>
      </c>
      <c r="T106" s="176">
        <f t="shared" si="147"/>
        <v>105</v>
      </c>
      <c r="U106" s="192"/>
      <c r="V106" s="753"/>
      <c r="W106" s="754"/>
      <c r="X106" s="125"/>
    </row>
    <row r="109" spans="1:258" x14ac:dyDescent="0.2">
      <c r="A109" s="339"/>
      <c r="C109" s="339"/>
    </row>
    <row r="110" spans="1:258" x14ac:dyDescent="0.2">
      <c r="A110" s="339"/>
      <c r="C110" s="339"/>
    </row>
    <row r="111" spans="1:258" x14ac:dyDescent="0.2">
      <c r="A111" s="339"/>
      <c r="C111" s="339"/>
    </row>
    <row r="112" spans="1:258" x14ac:dyDescent="0.2">
      <c r="A112" s="339"/>
      <c r="C112" s="339"/>
    </row>
  </sheetData>
  <sheetProtection algorithmName="SHA-512" hashValue="c3AHVnJ48+fDV8t4nNJsWDUI+QelTwVwFbHZhDp5IrrWYbjyXb6Gv54CF3F5nXalBzhsjBrVwXDwNYdNL738NQ==" saltValue="MalH3iwMIUJDZK4wsLsRVg==" spinCount="100000" sheet="1" objects="1" scenarios="1" selectLockedCells="1"/>
  <mergeCells count="22">
    <mergeCell ref="R11:T12"/>
    <mergeCell ref="R13:T13"/>
    <mergeCell ref="V76:W76"/>
    <mergeCell ref="V97:W97"/>
    <mergeCell ref="V106:W106"/>
    <mergeCell ref="V15:W15"/>
    <mergeCell ref="V38:W38"/>
    <mergeCell ref="V46:W46"/>
    <mergeCell ref="V65:W65"/>
    <mergeCell ref="B3:B4"/>
    <mergeCell ref="A3:A4"/>
    <mergeCell ref="F13:H13"/>
    <mergeCell ref="I13:K13"/>
    <mergeCell ref="O13:Q13"/>
    <mergeCell ref="L13:N13"/>
    <mergeCell ref="C8:C9"/>
    <mergeCell ref="D8:D9"/>
    <mergeCell ref="F11:H12"/>
    <mergeCell ref="I11:K12"/>
    <mergeCell ref="L11:N12"/>
    <mergeCell ref="O11:Q12"/>
    <mergeCell ref="D11:D12"/>
  </mergeCells>
  <phoneticPr fontId="0" type="noConversion"/>
  <conditionalFormatting sqref="E94 E64 E100:E102 E83 E80:E81 E73:E75 E70 E50 E52:E61 E17:E37 E40:E45">
    <cfRule type="cellIs" dxfId="314" priority="407" stopIfTrue="1" operator="equal">
      <formula>"RQ"</formula>
    </cfRule>
    <cfRule type="cellIs" dxfId="313" priority="408" stopIfTrue="1" operator="equal">
      <formula>"Rec"</formula>
    </cfRule>
  </conditionalFormatting>
  <conditionalFormatting sqref="D17:D36 E67 E92:E96 E69:E75 E78:E90 E63:E64 E17:E37 B47:B64 D47:D64 A48:A64 E48:E61 A78:D96 A99:E103 A40:E45 C48:C64 A67:D75 A17:C37 V17:W37 V40:W45 V47:W64 V66:W75 V77:W96 V98:W103">
    <cfRule type="expression" dxfId="312" priority="413">
      <formula>$C17="No"</formula>
    </cfRule>
  </conditionalFormatting>
  <conditionalFormatting sqref="U99:U105 U78:U96 U67:U75 U40:U45 U17:U37 U48:U64">
    <cfRule type="notContainsBlanks" dxfId="311" priority="414">
      <formula>LEN(TRIM(U17))&gt;0</formula>
    </cfRule>
  </conditionalFormatting>
  <conditionalFormatting sqref="U17:U38 U40:U46 U48:U65 U67:U76 U78:U97 U99:U105">
    <cfRule type="expression" dxfId="310" priority="416">
      <formula>$C17="No"</formula>
    </cfRule>
  </conditionalFormatting>
  <conditionalFormatting sqref="D37">
    <cfRule type="expression" dxfId="309" priority="444">
      <formula>#REF!="No"</formula>
    </cfRule>
  </conditionalFormatting>
  <conditionalFormatting sqref="H14:H103 T14:T103 I14:I16 L14:L16 O14:O16 R14:R16 I38:I39 L38:L39 O38:O39 R38:R39 K65:L66 K14:K64 K76:L77 K67:K75 K97:L98 K78:K96 K99:K103 I65:I66 N65:O66 Q65:R66 I46:I47 L46:L47 O46:O47 R46:R47 N14:N64 Q14:Q64 I76:I77 N76:O77 N67:N75 Q76:R77 Q67:Q75 I97:I98 N97:O98 N78:N96 Q97:R98 Q78:Q96 N99:N103 Q99:Q103">
    <cfRule type="cellIs" dxfId="308" priority="369" operator="lessThan">
      <formula>0</formula>
    </cfRule>
  </conditionalFormatting>
  <conditionalFormatting sqref="E91">
    <cfRule type="cellIs" dxfId="307" priority="344" stopIfTrue="1" operator="equal">
      <formula>"RQ"</formula>
    </cfRule>
    <cfRule type="cellIs" dxfId="306" priority="345" stopIfTrue="1" operator="equal">
      <formula>"Rec"</formula>
    </cfRule>
  </conditionalFormatting>
  <conditionalFormatting sqref="E91">
    <cfRule type="expression" dxfId="305" priority="464">
      <formula>$C62="No"</formula>
    </cfRule>
  </conditionalFormatting>
  <conditionalFormatting sqref="E93">
    <cfRule type="cellIs" dxfId="304" priority="340" stopIfTrue="1" operator="equal">
      <formula>"RQ"</formula>
    </cfRule>
    <cfRule type="cellIs" dxfId="303" priority="341" stopIfTrue="1" operator="equal">
      <formula>"Rec"</formula>
    </cfRule>
  </conditionalFormatting>
  <conditionalFormatting sqref="E93">
    <cfRule type="expression" dxfId="302" priority="339">
      <formula>$C64="No"</formula>
    </cfRule>
  </conditionalFormatting>
  <conditionalFormatting sqref="E95">
    <cfRule type="cellIs" dxfId="301" priority="337" stopIfTrue="1" operator="equal">
      <formula>"RQ"</formula>
    </cfRule>
    <cfRule type="cellIs" dxfId="300" priority="338" stopIfTrue="1" operator="equal">
      <formula>"Rec"</formula>
    </cfRule>
  </conditionalFormatting>
  <conditionalFormatting sqref="E95">
    <cfRule type="expression" dxfId="299" priority="336">
      <formula>$C66="No"</formula>
    </cfRule>
  </conditionalFormatting>
  <conditionalFormatting sqref="E96">
    <cfRule type="cellIs" dxfId="298" priority="334" stopIfTrue="1" operator="equal">
      <formula>"RQ"</formula>
    </cfRule>
    <cfRule type="cellIs" dxfId="297" priority="335" stopIfTrue="1" operator="equal">
      <formula>"Rec"</formula>
    </cfRule>
  </conditionalFormatting>
  <conditionalFormatting sqref="E96">
    <cfRule type="expression" dxfId="296" priority="333">
      <formula>$C67="No"</formula>
    </cfRule>
  </conditionalFormatting>
  <conditionalFormatting sqref="E99">
    <cfRule type="cellIs" dxfId="295" priority="331" stopIfTrue="1" operator="equal">
      <formula>"RQ"</formula>
    </cfRule>
    <cfRule type="cellIs" dxfId="294" priority="332" stopIfTrue="1" operator="equal">
      <formula>"Rec"</formula>
    </cfRule>
  </conditionalFormatting>
  <conditionalFormatting sqref="E99">
    <cfRule type="expression" dxfId="293" priority="330">
      <formula>$C70="No"</formula>
    </cfRule>
  </conditionalFormatting>
  <conditionalFormatting sqref="E94">
    <cfRule type="cellIs" dxfId="292" priority="328" stopIfTrue="1" operator="equal">
      <formula>"RQ"</formula>
    </cfRule>
    <cfRule type="cellIs" dxfId="291" priority="329" stopIfTrue="1" operator="equal">
      <formula>"Rec"</formula>
    </cfRule>
  </conditionalFormatting>
  <conditionalFormatting sqref="E94">
    <cfRule type="expression" dxfId="290" priority="327">
      <formula>$C65="No"</formula>
    </cfRule>
  </conditionalFormatting>
  <conditionalFormatting sqref="E100">
    <cfRule type="cellIs" dxfId="289" priority="325" stopIfTrue="1" operator="equal">
      <formula>"RQ"</formula>
    </cfRule>
    <cfRule type="cellIs" dxfId="288" priority="326" stopIfTrue="1" operator="equal">
      <formula>"Rec"</formula>
    </cfRule>
  </conditionalFormatting>
  <conditionalFormatting sqref="E100">
    <cfRule type="expression" dxfId="287" priority="324">
      <formula>$C71="No"</formula>
    </cfRule>
  </conditionalFormatting>
  <conditionalFormatting sqref="E101">
    <cfRule type="cellIs" dxfId="286" priority="322" stopIfTrue="1" operator="equal">
      <formula>"RQ"</formula>
    </cfRule>
    <cfRule type="cellIs" dxfId="285" priority="323" stopIfTrue="1" operator="equal">
      <formula>"Rec"</formula>
    </cfRule>
  </conditionalFormatting>
  <conditionalFormatting sqref="E101">
    <cfRule type="expression" dxfId="284" priority="321">
      <formula>$C72="No"</formula>
    </cfRule>
  </conditionalFormatting>
  <conditionalFormatting sqref="E102">
    <cfRule type="cellIs" dxfId="283" priority="319" stopIfTrue="1" operator="equal">
      <formula>"RQ"</formula>
    </cfRule>
    <cfRule type="cellIs" dxfId="282" priority="320" stopIfTrue="1" operator="equal">
      <formula>"Rec"</formula>
    </cfRule>
  </conditionalFormatting>
  <conditionalFormatting sqref="E102">
    <cfRule type="expression" dxfId="281" priority="318">
      <formula>$C73="No"</formula>
    </cfRule>
  </conditionalFormatting>
  <conditionalFormatting sqref="E81">
    <cfRule type="cellIs" dxfId="280" priority="316" stopIfTrue="1" operator="equal">
      <formula>"RQ"</formula>
    </cfRule>
    <cfRule type="cellIs" dxfId="279" priority="317" stopIfTrue="1" operator="equal">
      <formula>"Rec"</formula>
    </cfRule>
  </conditionalFormatting>
  <conditionalFormatting sqref="E81">
    <cfRule type="expression" dxfId="278" priority="315">
      <formula>$C53="No"</formula>
    </cfRule>
  </conditionalFormatting>
  <conditionalFormatting sqref="E83">
    <cfRule type="cellIs" dxfId="277" priority="313" stopIfTrue="1" operator="equal">
      <formula>"RQ"</formula>
    </cfRule>
    <cfRule type="cellIs" dxfId="276" priority="314" stopIfTrue="1" operator="equal">
      <formula>"Rec"</formula>
    </cfRule>
  </conditionalFormatting>
  <conditionalFormatting sqref="E83">
    <cfRule type="expression" dxfId="275" priority="312">
      <formula>#REF!="No"</formula>
    </cfRule>
  </conditionalFormatting>
  <conditionalFormatting sqref="E80">
    <cfRule type="cellIs" dxfId="274" priority="310" stopIfTrue="1" operator="equal">
      <formula>"RQ"</formula>
    </cfRule>
    <cfRule type="cellIs" dxfId="273" priority="311" stopIfTrue="1" operator="equal">
      <formula>"Rec"</formula>
    </cfRule>
  </conditionalFormatting>
  <conditionalFormatting sqref="E80">
    <cfRule type="expression" dxfId="272" priority="309">
      <formula>$C52="No"</formula>
    </cfRule>
  </conditionalFormatting>
  <conditionalFormatting sqref="E68">
    <cfRule type="cellIs" dxfId="271" priority="307" stopIfTrue="1" operator="equal">
      <formula>"RQ"</formula>
    </cfRule>
    <cfRule type="cellIs" dxfId="270" priority="308" stopIfTrue="1" operator="equal">
      <formula>"Rec"</formula>
    </cfRule>
  </conditionalFormatting>
  <conditionalFormatting sqref="E68">
    <cfRule type="expression" dxfId="269" priority="306">
      <formula>$C68="No"</formula>
    </cfRule>
  </conditionalFormatting>
  <conditionalFormatting sqref="E68">
    <cfRule type="cellIs" dxfId="268" priority="304" stopIfTrue="1" operator="equal">
      <formula>"RQ"</formula>
    </cfRule>
    <cfRule type="cellIs" dxfId="267" priority="305" stopIfTrue="1" operator="equal">
      <formula>"Rec"</formula>
    </cfRule>
  </conditionalFormatting>
  <conditionalFormatting sqref="E75">
    <cfRule type="cellIs" dxfId="266" priority="301" stopIfTrue="1" operator="equal">
      <formula>"RQ"</formula>
    </cfRule>
    <cfRule type="cellIs" dxfId="265" priority="302" stopIfTrue="1" operator="equal">
      <formula>"Rec"</formula>
    </cfRule>
  </conditionalFormatting>
  <conditionalFormatting sqref="E75">
    <cfRule type="expression" dxfId="264" priority="300">
      <formula>$C47="No"</formula>
    </cfRule>
  </conditionalFormatting>
  <conditionalFormatting sqref="E74">
    <cfRule type="cellIs" dxfId="263" priority="298" stopIfTrue="1" operator="equal">
      <formula>"RQ"</formula>
    </cfRule>
    <cfRule type="cellIs" dxfId="262" priority="299" stopIfTrue="1" operator="equal">
      <formula>"Rec"</formula>
    </cfRule>
  </conditionalFormatting>
  <conditionalFormatting sqref="E74">
    <cfRule type="expression" dxfId="261" priority="297">
      <formula>$C46="No"</formula>
    </cfRule>
  </conditionalFormatting>
  <conditionalFormatting sqref="E73">
    <cfRule type="cellIs" dxfId="260" priority="295" stopIfTrue="1" operator="equal">
      <formula>"RQ"</formula>
    </cfRule>
    <cfRule type="cellIs" dxfId="259" priority="296" stopIfTrue="1" operator="equal">
      <formula>"Rec"</formula>
    </cfRule>
  </conditionalFormatting>
  <conditionalFormatting sqref="E73">
    <cfRule type="expression" dxfId="258" priority="294">
      <formula>$C45="No"</formula>
    </cfRule>
  </conditionalFormatting>
  <conditionalFormatting sqref="E72">
    <cfRule type="cellIs" dxfId="257" priority="292" stopIfTrue="1" operator="equal">
      <formula>"RQ"</formula>
    </cfRule>
    <cfRule type="cellIs" dxfId="256" priority="293" stopIfTrue="1" operator="equal">
      <formula>"Rec"</formula>
    </cfRule>
  </conditionalFormatting>
  <conditionalFormatting sqref="E72">
    <cfRule type="cellIs" dxfId="255" priority="290" stopIfTrue="1" operator="equal">
      <formula>"RQ"</formula>
    </cfRule>
    <cfRule type="cellIs" dxfId="254" priority="291" stopIfTrue="1" operator="equal">
      <formula>"Rec"</formula>
    </cfRule>
  </conditionalFormatting>
  <conditionalFormatting sqref="E72">
    <cfRule type="expression" dxfId="253" priority="289">
      <formula>$C44="No"</formula>
    </cfRule>
  </conditionalFormatting>
  <conditionalFormatting sqref="E71">
    <cfRule type="cellIs" dxfId="252" priority="287" stopIfTrue="1" operator="equal">
      <formula>"RQ"</formula>
    </cfRule>
    <cfRule type="cellIs" dxfId="251" priority="288" stopIfTrue="1" operator="equal">
      <formula>"Rec"</formula>
    </cfRule>
  </conditionalFormatting>
  <conditionalFormatting sqref="E71">
    <cfRule type="cellIs" dxfId="250" priority="285" stopIfTrue="1" operator="equal">
      <formula>"RQ"</formula>
    </cfRule>
    <cfRule type="cellIs" dxfId="249" priority="286" stopIfTrue="1" operator="equal">
      <formula>"Rec"</formula>
    </cfRule>
  </conditionalFormatting>
  <conditionalFormatting sqref="E71">
    <cfRule type="expression" dxfId="248" priority="284">
      <formula>$C43="No"</formula>
    </cfRule>
  </conditionalFormatting>
  <conditionalFormatting sqref="E70">
    <cfRule type="cellIs" dxfId="247" priority="282" stopIfTrue="1" operator="equal">
      <formula>"RQ"</formula>
    </cfRule>
    <cfRule type="cellIs" dxfId="246" priority="283" stopIfTrue="1" operator="equal">
      <formula>"Rec"</formula>
    </cfRule>
  </conditionalFormatting>
  <conditionalFormatting sqref="E62">
    <cfRule type="expression" dxfId="245" priority="20">
      <formula>$AO$62=1</formula>
    </cfRule>
    <cfRule type="expression" dxfId="244" priority="280">
      <formula>$C62="No"</formula>
    </cfRule>
  </conditionalFormatting>
  <conditionalFormatting sqref="E89">
    <cfRule type="cellIs" dxfId="243" priority="278" stopIfTrue="1" operator="equal">
      <formula>"RQ"</formula>
    </cfRule>
    <cfRule type="cellIs" dxfId="242" priority="279" stopIfTrue="1" operator="equal">
      <formula>"Rec"</formula>
    </cfRule>
  </conditionalFormatting>
  <conditionalFormatting sqref="E89">
    <cfRule type="expression" dxfId="241" priority="277">
      <formula>$C60="No"</formula>
    </cfRule>
  </conditionalFormatting>
  <conditionalFormatting sqref="E52">
    <cfRule type="expression" dxfId="240" priority="276">
      <formula>$C52="No"</formula>
    </cfRule>
  </conditionalFormatting>
  <conditionalFormatting sqref="E60">
    <cfRule type="expression" dxfId="239" priority="275">
      <formula>$C60="No"</formula>
    </cfRule>
  </conditionalFormatting>
  <conditionalFormatting sqref="E61">
    <cfRule type="expression" dxfId="238" priority="274">
      <formula>$C61="No"</formula>
    </cfRule>
  </conditionalFormatting>
  <conditionalFormatting sqref="E62">
    <cfRule type="cellIs" dxfId="237" priority="272" stopIfTrue="1" operator="equal">
      <formula>"RQ"</formula>
    </cfRule>
    <cfRule type="cellIs" dxfId="236" priority="273" stopIfTrue="1" operator="equal">
      <formula>"Rec"</formula>
    </cfRule>
  </conditionalFormatting>
  <conditionalFormatting sqref="E62">
    <cfRule type="expression" dxfId="235" priority="271">
      <formula>$C62="No"</formula>
    </cfRule>
  </conditionalFormatting>
  <conditionalFormatting sqref="E63">
    <cfRule type="expression" dxfId="234" priority="14">
      <formula>$AO$63=1</formula>
    </cfRule>
    <cfRule type="cellIs" dxfId="233" priority="269" stopIfTrue="1" operator="equal">
      <formula>"RQ"</formula>
    </cfRule>
    <cfRule type="cellIs" dxfId="232" priority="270" stopIfTrue="1" operator="equal">
      <formula>"Rec"</formula>
    </cfRule>
  </conditionalFormatting>
  <conditionalFormatting sqref="E63">
    <cfRule type="cellIs" dxfId="231" priority="267" stopIfTrue="1" operator="equal">
      <formula>"RQ"</formula>
    </cfRule>
    <cfRule type="cellIs" dxfId="230" priority="268" stopIfTrue="1" operator="equal">
      <formula>"Rec"</formula>
    </cfRule>
  </conditionalFormatting>
  <conditionalFormatting sqref="E63">
    <cfRule type="expression" dxfId="229" priority="266">
      <formula>$C63="No"</formula>
    </cfRule>
  </conditionalFormatting>
  <conditionalFormatting sqref="E63">
    <cfRule type="cellIs" dxfId="228" priority="264" stopIfTrue="1" operator="equal">
      <formula>"RQ"</formula>
    </cfRule>
    <cfRule type="cellIs" dxfId="227" priority="265" stopIfTrue="1" operator="equal">
      <formula>"Rec"</formula>
    </cfRule>
  </conditionalFormatting>
  <conditionalFormatting sqref="E63">
    <cfRule type="expression" dxfId="226" priority="263">
      <formula>$C63="No"</formula>
    </cfRule>
  </conditionalFormatting>
  <conditionalFormatting sqref="E63">
    <cfRule type="cellIs" dxfId="225" priority="261" stopIfTrue="1" operator="equal">
      <formula>"RQ"</formula>
    </cfRule>
    <cfRule type="cellIs" dxfId="224" priority="262" stopIfTrue="1" operator="equal">
      <formula>"Rec"</formula>
    </cfRule>
  </conditionalFormatting>
  <conditionalFormatting sqref="E49">
    <cfRule type="expression" dxfId="223" priority="143">
      <formula>$AO$49=1</formula>
    </cfRule>
    <cfRule type="cellIs" dxfId="222" priority="259" stopIfTrue="1" operator="equal">
      <formula>"RQ"</formula>
    </cfRule>
    <cfRule type="cellIs" dxfId="221" priority="260" stopIfTrue="1" operator="equal">
      <formula>"Rec"</formula>
    </cfRule>
  </conditionalFormatting>
  <conditionalFormatting sqref="D32:E32">
    <cfRule type="expression" dxfId="220" priority="258">
      <formula>$C$31="Yes"</formula>
    </cfRule>
  </conditionalFormatting>
  <conditionalFormatting sqref="D31">
    <cfRule type="expression" dxfId="219" priority="257">
      <formula>$C$32="Yes"</formula>
    </cfRule>
  </conditionalFormatting>
  <conditionalFormatting sqref="U31">
    <cfRule type="expression" dxfId="218" priority="256">
      <formula>$C$32="Yes"</formula>
    </cfRule>
  </conditionalFormatting>
  <conditionalFormatting sqref="U32">
    <cfRule type="expression" dxfId="217" priority="255">
      <formula>$C$31="Yes"</formula>
    </cfRule>
  </conditionalFormatting>
  <conditionalFormatting sqref="F17">
    <cfRule type="expression" dxfId="216" priority="244">
      <formula>IF($AI17="ERROR","True","False")</formula>
    </cfRule>
  </conditionalFormatting>
  <conditionalFormatting sqref="F18:F37">
    <cfRule type="expression" dxfId="215" priority="242">
      <formula>IF($AI18="ERROR","True","False")</formula>
    </cfRule>
  </conditionalFormatting>
  <conditionalFormatting sqref="I17:I37">
    <cfRule type="expression" dxfId="214" priority="241">
      <formula>IF($AJ17="ERROR","True","False")</formula>
    </cfRule>
  </conditionalFormatting>
  <conditionalFormatting sqref="L17:L37">
    <cfRule type="expression" dxfId="213" priority="240">
      <formula>IF($AK17="ERROR","True","False")</formula>
    </cfRule>
  </conditionalFormatting>
  <conditionalFormatting sqref="O17:O37">
    <cfRule type="expression" dxfId="212" priority="239">
      <formula>IF($AL17="ERROR","True","False")</formula>
    </cfRule>
  </conditionalFormatting>
  <conditionalFormatting sqref="R17:R37">
    <cfRule type="expression" dxfId="211" priority="237">
      <formula>IF($AM17="ERROR","True","False")</formula>
    </cfRule>
  </conditionalFormatting>
  <conditionalFormatting sqref="F40:F45">
    <cfRule type="expression" dxfId="210" priority="236">
      <formula>IF($AI40="ERROR","True","False")</formula>
    </cfRule>
  </conditionalFormatting>
  <conditionalFormatting sqref="I40:I45">
    <cfRule type="expression" dxfId="209" priority="234">
      <formula>IF($AJ40="ERROR","True","False")</formula>
    </cfRule>
  </conditionalFormatting>
  <conditionalFormatting sqref="L40:L45">
    <cfRule type="expression" dxfId="208" priority="233">
      <formula>IF($AK40="ERROR","True","False")</formula>
    </cfRule>
  </conditionalFormatting>
  <conditionalFormatting sqref="O40:O45">
    <cfRule type="expression" dxfId="207" priority="232">
      <formula>IF($AL40="ERROR","True","False")</formula>
    </cfRule>
  </conditionalFormatting>
  <conditionalFormatting sqref="R40:R45">
    <cfRule type="expression" dxfId="206" priority="231">
      <formula>IF($AM40="ERROR","True","False")</formula>
    </cfRule>
  </conditionalFormatting>
  <conditionalFormatting sqref="F48:F64">
    <cfRule type="expression" dxfId="205" priority="230">
      <formula>IF($AI48="ERROR","True","False")</formula>
    </cfRule>
  </conditionalFormatting>
  <conditionalFormatting sqref="I48:I64">
    <cfRule type="expression" dxfId="204" priority="229">
      <formula>IF($AJ48="ERROR","True","False")</formula>
    </cfRule>
  </conditionalFormatting>
  <conditionalFormatting sqref="L48:L64">
    <cfRule type="expression" dxfId="203" priority="228">
      <formula>IF($AK48="ERROR","True","False")</formula>
    </cfRule>
  </conditionalFormatting>
  <conditionalFormatting sqref="O48:O64">
    <cfRule type="expression" dxfId="202" priority="227">
      <formula>IF($AL48="ERROR","True","False")</formula>
    </cfRule>
  </conditionalFormatting>
  <conditionalFormatting sqref="R48:R64">
    <cfRule type="expression" dxfId="201" priority="226">
      <formula>IF($AM48="ERROR","True","False")</formula>
    </cfRule>
  </conditionalFormatting>
  <conditionalFormatting sqref="F67:F75">
    <cfRule type="expression" dxfId="200" priority="225">
      <formula>IF($AI67="ERROR","True","False")</formula>
    </cfRule>
  </conditionalFormatting>
  <conditionalFormatting sqref="I67:I75">
    <cfRule type="expression" dxfId="199" priority="224">
      <formula>IF($AJ67="ERROR","True","False")</formula>
    </cfRule>
  </conditionalFormatting>
  <conditionalFormatting sqref="L67:L75">
    <cfRule type="expression" dxfId="198" priority="223">
      <formula>IF($AK67="ERROR","True","False")</formula>
    </cfRule>
  </conditionalFormatting>
  <conditionalFormatting sqref="O67:O75">
    <cfRule type="expression" dxfId="197" priority="222">
      <formula>IF($AL67="ERROR","True","False")</formula>
    </cfRule>
  </conditionalFormatting>
  <conditionalFormatting sqref="R67:R75">
    <cfRule type="expression" dxfId="196" priority="221">
      <formula>IF($AM67="ERROR","True","False")</formula>
    </cfRule>
  </conditionalFormatting>
  <conditionalFormatting sqref="F78:F96">
    <cfRule type="expression" dxfId="195" priority="220">
      <formula>IF($AI78="ERROR","True","False")</formula>
    </cfRule>
  </conditionalFormatting>
  <conditionalFormatting sqref="I78:I96">
    <cfRule type="expression" dxfId="194" priority="219">
      <formula>IF($AJ78="ERROR","True","False")</formula>
    </cfRule>
  </conditionalFormatting>
  <conditionalFormatting sqref="L78:L96">
    <cfRule type="expression" dxfId="193" priority="218">
      <formula>IF($AK78="ERROR","True","False")</formula>
    </cfRule>
  </conditionalFormatting>
  <conditionalFormatting sqref="O78:O96">
    <cfRule type="expression" dxfId="192" priority="217">
      <formula>IF($AL78="ERROR","True","False")</formula>
    </cfRule>
  </conditionalFormatting>
  <conditionalFormatting sqref="R78:R96">
    <cfRule type="expression" dxfId="191" priority="216">
      <formula>IF($AM78="ERROR","True","False")</formula>
    </cfRule>
  </conditionalFormatting>
  <conditionalFormatting sqref="F99:F103">
    <cfRule type="expression" dxfId="190" priority="215">
      <formula>IF($AI99="ERROR","True","False")</formula>
    </cfRule>
  </conditionalFormatting>
  <conditionalFormatting sqref="I99:I103">
    <cfRule type="expression" dxfId="189" priority="214">
      <formula>IF($AJ99="ERROR","True","False")</formula>
    </cfRule>
  </conditionalFormatting>
  <conditionalFormatting sqref="L99:L103">
    <cfRule type="expression" dxfId="188" priority="213">
      <formula>IF($AK99="ERROR","True","False")</formula>
    </cfRule>
  </conditionalFormatting>
  <conditionalFormatting sqref="O99:O103">
    <cfRule type="expression" dxfId="187" priority="212">
      <formula>IF($AL99="ERROR","True","False")</formula>
    </cfRule>
  </conditionalFormatting>
  <conditionalFormatting sqref="R99:R103">
    <cfRule type="expression" dxfId="186" priority="211">
      <formula>IF($AM99="ERROR","True","False")</formula>
    </cfRule>
  </conditionalFormatting>
  <conditionalFormatting sqref="C32">
    <cfRule type="expression" dxfId="185" priority="210">
      <formula>IF($AN$32="ERROR","True","False")</formula>
    </cfRule>
  </conditionalFormatting>
  <conditionalFormatting sqref="E21">
    <cfRule type="expression" dxfId="184" priority="208">
      <formula>$AO$21=1</formula>
    </cfRule>
  </conditionalFormatting>
  <conditionalFormatting sqref="E28">
    <cfRule type="expression" dxfId="183" priority="191">
      <formula>$AO$28=1</formula>
    </cfRule>
  </conditionalFormatting>
  <conditionalFormatting sqref="E34">
    <cfRule type="expression" dxfId="182" priority="185">
      <formula>$AO$34=1</formula>
    </cfRule>
  </conditionalFormatting>
  <conditionalFormatting sqref="E40">
    <cfRule type="expression" dxfId="181" priority="179">
      <formula>$AO$40=1</formula>
    </cfRule>
  </conditionalFormatting>
  <conditionalFormatting sqref="E44">
    <cfRule type="expression" dxfId="180" priority="173">
      <formula>$AO$44=1</formula>
    </cfRule>
  </conditionalFormatting>
  <conditionalFormatting sqref="E48">
    <cfRule type="expression" dxfId="179" priority="167">
      <formula>$AO$48=1</formula>
    </cfRule>
  </conditionalFormatting>
  <conditionalFormatting sqref="E50">
    <cfRule type="expression" dxfId="178" priority="161">
      <formula>$AO$50=1</formula>
    </cfRule>
  </conditionalFormatting>
  <conditionalFormatting sqref="E51">
    <cfRule type="expression" dxfId="177" priority="155">
      <formula>$AO$51=1</formula>
    </cfRule>
  </conditionalFormatting>
  <conditionalFormatting sqref="E53">
    <cfRule type="expression" dxfId="176" priority="149">
      <formula>$AO$53=1</formula>
    </cfRule>
  </conditionalFormatting>
  <conditionalFormatting sqref="F21">
    <cfRule type="expression" dxfId="175" priority="142">
      <formula>$AP$21=1</formula>
    </cfRule>
  </conditionalFormatting>
  <conditionalFormatting sqref="I21">
    <cfRule type="expression" dxfId="174" priority="141">
      <formula>$AQ$21=1</formula>
    </cfRule>
  </conditionalFormatting>
  <conditionalFormatting sqref="L21">
    <cfRule type="expression" dxfId="173" priority="140">
      <formula>$AR$21=1</formula>
    </cfRule>
  </conditionalFormatting>
  <conditionalFormatting sqref="O21">
    <cfRule type="expression" dxfId="172" priority="139">
      <formula>$AS$21=1</formula>
    </cfRule>
  </conditionalFormatting>
  <conditionalFormatting sqref="R21">
    <cfRule type="expression" dxfId="171" priority="138">
      <formula>$AT$21=1</formula>
    </cfRule>
  </conditionalFormatting>
  <conditionalFormatting sqref="F28">
    <cfRule type="expression" dxfId="170" priority="137">
      <formula>$AP$28=1</formula>
    </cfRule>
  </conditionalFormatting>
  <conditionalFormatting sqref="I28">
    <cfRule type="expression" dxfId="169" priority="136">
      <formula>$AQ$28=1</formula>
    </cfRule>
  </conditionalFormatting>
  <conditionalFormatting sqref="L28">
    <cfRule type="expression" dxfId="168" priority="135">
      <formula>$AR$28=1</formula>
    </cfRule>
  </conditionalFormatting>
  <conditionalFormatting sqref="O28">
    <cfRule type="expression" dxfId="167" priority="134">
      <formula>$AS$28=1</formula>
    </cfRule>
  </conditionalFormatting>
  <conditionalFormatting sqref="R28">
    <cfRule type="expression" dxfId="166" priority="133">
      <formula>$AT$28=1</formula>
    </cfRule>
  </conditionalFormatting>
  <conditionalFormatting sqref="F34">
    <cfRule type="expression" dxfId="165" priority="132">
      <formula>$AP$34=1</formula>
    </cfRule>
  </conditionalFormatting>
  <conditionalFormatting sqref="I34">
    <cfRule type="expression" dxfId="164" priority="131">
      <formula>$AQ$34=1</formula>
    </cfRule>
  </conditionalFormatting>
  <conditionalFormatting sqref="L34">
    <cfRule type="expression" dxfId="163" priority="130">
      <formula>$AR$34=1</formula>
    </cfRule>
  </conditionalFormatting>
  <conditionalFormatting sqref="O34">
    <cfRule type="expression" dxfId="162" priority="129">
      <formula>$AS$34=1</formula>
    </cfRule>
  </conditionalFormatting>
  <conditionalFormatting sqref="R34">
    <cfRule type="expression" dxfId="161" priority="128">
      <formula>$AT$34=1</formula>
    </cfRule>
  </conditionalFormatting>
  <conditionalFormatting sqref="F40">
    <cfRule type="expression" dxfId="160" priority="127">
      <formula>$AP$40=1</formula>
    </cfRule>
  </conditionalFormatting>
  <conditionalFormatting sqref="I40">
    <cfRule type="expression" dxfId="159" priority="126">
      <formula>$AQ$40=1</formula>
    </cfRule>
  </conditionalFormatting>
  <conditionalFormatting sqref="L40">
    <cfRule type="expression" dxfId="158" priority="125">
      <formula>$AR$40=1</formula>
    </cfRule>
  </conditionalFormatting>
  <conditionalFormatting sqref="O40">
    <cfRule type="expression" dxfId="157" priority="124">
      <formula>$AS$40=1</formula>
    </cfRule>
  </conditionalFormatting>
  <conditionalFormatting sqref="R40">
    <cfRule type="expression" dxfId="156" priority="123">
      <formula>$AT$40=1</formula>
    </cfRule>
  </conditionalFormatting>
  <conditionalFormatting sqref="F44">
    <cfRule type="expression" dxfId="155" priority="122">
      <formula>$AP$44=1</formula>
    </cfRule>
  </conditionalFormatting>
  <conditionalFormatting sqref="I44">
    <cfRule type="expression" dxfId="154" priority="121">
      <formula>$AQ$44=1</formula>
    </cfRule>
  </conditionalFormatting>
  <conditionalFormatting sqref="L44">
    <cfRule type="expression" dxfId="153" priority="120">
      <formula>$AR$44=1</formula>
    </cfRule>
  </conditionalFormatting>
  <conditionalFormatting sqref="O44">
    <cfRule type="expression" dxfId="152" priority="119">
      <formula>$AS$44=1</formula>
    </cfRule>
  </conditionalFormatting>
  <conditionalFormatting sqref="R44">
    <cfRule type="expression" dxfId="151" priority="118">
      <formula>$AT$44=1</formula>
    </cfRule>
  </conditionalFormatting>
  <conditionalFormatting sqref="F49">
    <cfRule type="expression" dxfId="150" priority="117">
      <formula>$AP$49=1</formula>
    </cfRule>
  </conditionalFormatting>
  <conditionalFormatting sqref="I49">
    <cfRule type="expression" dxfId="149" priority="116">
      <formula>$AQ$49=1</formula>
    </cfRule>
  </conditionalFormatting>
  <conditionalFormatting sqref="L49">
    <cfRule type="expression" dxfId="148" priority="115">
      <formula>$AR$49=1</formula>
    </cfRule>
  </conditionalFormatting>
  <conditionalFormatting sqref="O49">
    <cfRule type="expression" dxfId="147" priority="114">
      <formula>$AS$49=1</formula>
    </cfRule>
  </conditionalFormatting>
  <conditionalFormatting sqref="R49">
    <cfRule type="expression" dxfId="146" priority="113">
      <formula>$AT$49=1</formula>
    </cfRule>
  </conditionalFormatting>
  <conditionalFormatting sqref="F48">
    <cfRule type="expression" dxfId="145" priority="112">
      <formula>$AP$48=1</formula>
    </cfRule>
  </conditionalFormatting>
  <conditionalFormatting sqref="I48">
    <cfRule type="expression" dxfId="144" priority="111">
      <formula>$AQ$48=1</formula>
    </cfRule>
  </conditionalFormatting>
  <conditionalFormatting sqref="L48">
    <cfRule type="expression" dxfId="143" priority="110">
      <formula>$AR$48=1</formula>
    </cfRule>
  </conditionalFormatting>
  <conditionalFormatting sqref="O48">
    <cfRule type="expression" dxfId="142" priority="109">
      <formula>$AS$48=1</formula>
    </cfRule>
  </conditionalFormatting>
  <conditionalFormatting sqref="R48">
    <cfRule type="expression" dxfId="141" priority="108">
      <formula>$AT$48=1</formula>
    </cfRule>
  </conditionalFormatting>
  <conditionalFormatting sqref="F50">
    <cfRule type="expression" dxfId="140" priority="107">
      <formula>$AP$50=1</formula>
    </cfRule>
  </conditionalFormatting>
  <conditionalFormatting sqref="I50">
    <cfRule type="expression" dxfId="139" priority="106">
      <formula>$AQ$50=1</formula>
    </cfRule>
  </conditionalFormatting>
  <conditionalFormatting sqref="L50">
    <cfRule type="expression" dxfId="138" priority="105">
      <formula>$AR$50=1</formula>
    </cfRule>
  </conditionalFormatting>
  <conditionalFormatting sqref="O50">
    <cfRule type="expression" dxfId="137" priority="104">
      <formula>$AS$50=1</formula>
    </cfRule>
  </conditionalFormatting>
  <conditionalFormatting sqref="R50">
    <cfRule type="expression" dxfId="136" priority="103">
      <formula>$AT$50=1</formula>
    </cfRule>
  </conditionalFormatting>
  <conditionalFormatting sqref="F51">
    <cfRule type="expression" dxfId="135" priority="102">
      <formula>$AP$51=1</formula>
    </cfRule>
  </conditionalFormatting>
  <conditionalFormatting sqref="I51">
    <cfRule type="expression" dxfId="134" priority="101">
      <formula>$AQ$51=1</formula>
    </cfRule>
  </conditionalFormatting>
  <conditionalFormatting sqref="L51">
    <cfRule type="expression" dxfId="133" priority="100">
      <formula>$AR$51=1</formula>
    </cfRule>
  </conditionalFormatting>
  <conditionalFormatting sqref="O51">
    <cfRule type="expression" dxfId="132" priority="99">
      <formula>$AS$51=1</formula>
    </cfRule>
  </conditionalFormatting>
  <conditionalFormatting sqref="R51">
    <cfRule type="expression" dxfId="131" priority="98">
      <formula>$AT$51=1</formula>
    </cfRule>
  </conditionalFormatting>
  <conditionalFormatting sqref="F53">
    <cfRule type="expression" dxfId="130" priority="97">
      <formula>$AP$53=1</formula>
    </cfRule>
  </conditionalFormatting>
  <conditionalFormatting sqref="I53">
    <cfRule type="expression" dxfId="129" priority="96">
      <formula>$AQ$53=1</formula>
    </cfRule>
  </conditionalFormatting>
  <conditionalFormatting sqref="L53">
    <cfRule type="expression" dxfId="128" priority="95">
      <formula>$AR$53=1</formula>
    </cfRule>
  </conditionalFormatting>
  <conditionalFormatting sqref="O53">
    <cfRule type="expression" dxfId="127" priority="94">
      <formula>$AS$53=1</formula>
    </cfRule>
  </conditionalFormatting>
  <conditionalFormatting sqref="R53">
    <cfRule type="expression" dxfId="126" priority="93">
      <formula>$AT$53=1</formula>
    </cfRule>
  </conditionalFormatting>
  <conditionalFormatting sqref="E67">
    <cfRule type="expression" dxfId="125" priority="92">
      <formula>$AO$67=1</formula>
    </cfRule>
  </conditionalFormatting>
  <conditionalFormatting sqref="F67">
    <cfRule type="expression" dxfId="124" priority="91">
      <formula>$AP$67=1</formula>
    </cfRule>
  </conditionalFormatting>
  <conditionalFormatting sqref="I67">
    <cfRule type="expression" dxfId="123" priority="90">
      <formula>$AQ$67=1</formula>
    </cfRule>
  </conditionalFormatting>
  <conditionalFormatting sqref="L67">
    <cfRule type="expression" dxfId="122" priority="89">
      <formula>$AR$67=1</formula>
    </cfRule>
  </conditionalFormatting>
  <conditionalFormatting sqref="O67">
    <cfRule type="expression" dxfId="121" priority="88">
      <formula>$AS$67=1</formula>
    </cfRule>
  </conditionalFormatting>
  <conditionalFormatting sqref="R67">
    <cfRule type="expression" dxfId="120" priority="87">
      <formula>$AT$67=1</formula>
    </cfRule>
  </conditionalFormatting>
  <conditionalFormatting sqref="E69">
    <cfRule type="expression" dxfId="119" priority="86">
      <formula>$AO$69=1</formula>
    </cfRule>
  </conditionalFormatting>
  <conditionalFormatting sqref="F69">
    <cfRule type="expression" dxfId="118" priority="85">
      <formula>$AP$69=1</formula>
    </cfRule>
  </conditionalFormatting>
  <conditionalFormatting sqref="I69">
    <cfRule type="expression" dxfId="117" priority="84">
      <formula>$AQ$69=1</formula>
    </cfRule>
  </conditionalFormatting>
  <conditionalFormatting sqref="L69">
    <cfRule type="expression" dxfId="116" priority="83">
      <formula>$AR$69=1</formula>
    </cfRule>
  </conditionalFormatting>
  <conditionalFormatting sqref="O69">
    <cfRule type="expression" dxfId="115" priority="82">
      <formula>$AS$69=1</formula>
    </cfRule>
  </conditionalFormatting>
  <conditionalFormatting sqref="R69">
    <cfRule type="expression" dxfId="114" priority="81">
      <formula>$AT$69=1</formula>
    </cfRule>
  </conditionalFormatting>
  <conditionalFormatting sqref="E78">
    <cfRule type="expression" dxfId="113" priority="80">
      <formula>$AO$78=1</formula>
    </cfRule>
  </conditionalFormatting>
  <conditionalFormatting sqref="F78">
    <cfRule type="expression" dxfId="112" priority="79">
      <formula>$AP$78=1</formula>
    </cfRule>
  </conditionalFormatting>
  <conditionalFormatting sqref="I78">
    <cfRule type="expression" dxfId="111" priority="78">
      <formula>$AQ$78=1</formula>
    </cfRule>
  </conditionalFormatting>
  <conditionalFormatting sqref="L78">
    <cfRule type="expression" dxfId="110" priority="77">
      <formula>$AR$78=1</formula>
    </cfRule>
  </conditionalFormatting>
  <conditionalFormatting sqref="O78">
    <cfRule type="expression" dxfId="109" priority="76">
      <formula>$AS$78=1</formula>
    </cfRule>
  </conditionalFormatting>
  <conditionalFormatting sqref="R78">
    <cfRule type="expression" dxfId="108" priority="75">
      <formula>$AT$78=1</formula>
    </cfRule>
  </conditionalFormatting>
  <conditionalFormatting sqref="E79">
    <cfRule type="expression" dxfId="107" priority="74">
      <formula>$AO$79=1</formula>
    </cfRule>
  </conditionalFormatting>
  <conditionalFormatting sqref="F79">
    <cfRule type="expression" dxfId="106" priority="73">
      <formula>$AP$79=1</formula>
    </cfRule>
  </conditionalFormatting>
  <conditionalFormatting sqref="I79">
    <cfRule type="expression" dxfId="105" priority="72">
      <formula>$AQ$79=1</formula>
    </cfRule>
  </conditionalFormatting>
  <conditionalFormatting sqref="L79">
    <cfRule type="expression" dxfId="104" priority="71">
      <formula>$AR$79=1</formula>
    </cfRule>
  </conditionalFormatting>
  <conditionalFormatting sqref="O79">
    <cfRule type="expression" dxfId="103" priority="70">
      <formula>$AS$79=1</formula>
    </cfRule>
  </conditionalFormatting>
  <conditionalFormatting sqref="R79">
    <cfRule type="expression" dxfId="102" priority="69">
      <formula>$AT$79=1</formula>
    </cfRule>
  </conditionalFormatting>
  <conditionalFormatting sqref="E84">
    <cfRule type="expression" dxfId="101" priority="68">
      <formula>$AO$84=1</formula>
    </cfRule>
  </conditionalFormatting>
  <conditionalFormatting sqref="F84">
    <cfRule type="expression" dxfId="100" priority="67">
      <formula>$AP$84=1</formula>
    </cfRule>
  </conditionalFormatting>
  <conditionalFormatting sqref="I84">
    <cfRule type="expression" dxfId="99" priority="66">
      <formula>$AQ$84=1</formula>
    </cfRule>
  </conditionalFormatting>
  <conditionalFormatting sqref="L84">
    <cfRule type="expression" dxfId="98" priority="65">
      <formula>$AR$84=1</formula>
    </cfRule>
  </conditionalFormatting>
  <conditionalFormatting sqref="O84">
    <cfRule type="expression" dxfId="97" priority="64">
      <formula>$AS$84=1</formula>
    </cfRule>
  </conditionalFormatting>
  <conditionalFormatting sqref="R84">
    <cfRule type="expression" dxfId="96" priority="63">
      <formula>$AT$84=1</formula>
    </cfRule>
  </conditionalFormatting>
  <conditionalFormatting sqref="E85">
    <cfRule type="expression" dxfId="95" priority="62">
      <formula>$AO$85=1</formula>
    </cfRule>
  </conditionalFormatting>
  <conditionalFormatting sqref="F85">
    <cfRule type="expression" dxfId="94" priority="61">
      <formula>$AP$85=1</formula>
    </cfRule>
  </conditionalFormatting>
  <conditionalFormatting sqref="I85">
    <cfRule type="expression" dxfId="93" priority="60">
      <formula>$AQ$85=1</formula>
    </cfRule>
  </conditionalFormatting>
  <conditionalFormatting sqref="L85">
    <cfRule type="expression" dxfId="92" priority="59">
      <formula>$AR$85=1</formula>
    </cfRule>
  </conditionalFormatting>
  <conditionalFormatting sqref="O85">
    <cfRule type="expression" dxfId="91" priority="58">
      <formula>$AS$85=1</formula>
    </cfRule>
  </conditionalFormatting>
  <conditionalFormatting sqref="R85">
    <cfRule type="expression" dxfId="90" priority="57">
      <formula>$AT$85=1</formula>
    </cfRule>
  </conditionalFormatting>
  <conditionalFormatting sqref="E86">
    <cfRule type="expression" dxfId="89" priority="56">
      <formula>$AO$86=1</formula>
    </cfRule>
  </conditionalFormatting>
  <conditionalFormatting sqref="F86">
    <cfRule type="expression" dxfId="88" priority="55">
      <formula>$AP$86=1</formula>
    </cfRule>
  </conditionalFormatting>
  <conditionalFormatting sqref="I86">
    <cfRule type="expression" dxfId="87" priority="54">
      <formula>$AQ$86=1</formula>
    </cfRule>
  </conditionalFormatting>
  <conditionalFormatting sqref="L86">
    <cfRule type="expression" dxfId="86" priority="53">
      <formula>$AR$86=1</formula>
    </cfRule>
  </conditionalFormatting>
  <conditionalFormatting sqref="O86">
    <cfRule type="expression" dxfId="85" priority="52">
      <formula>$AS$86=1</formula>
    </cfRule>
  </conditionalFormatting>
  <conditionalFormatting sqref="R86">
    <cfRule type="expression" dxfId="84" priority="51">
      <formula>$AT$86=1</formula>
    </cfRule>
  </conditionalFormatting>
  <conditionalFormatting sqref="E87">
    <cfRule type="expression" dxfId="83" priority="50">
      <formula>$AO$87=1</formula>
    </cfRule>
  </conditionalFormatting>
  <conditionalFormatting sqref="F87">
    <cfRule type="expression" dxfId="82" priority="49">
      <formula>$AP$87=1</formula>
    </cfRule>
  </conditionalFormatting>
  <conditionalFormatting sqref="I87">
    <cfRule type="expression" dxfId="81" priority="48">
      <formula>$AQ$87=1</formula>
    </cfRule>
  </conditionalFormatting>
  <conditionalFormatting sqref="L87">
    <cfRule type="expression" dxfId="80" priority="47">
      <formula>$AR$87=1</formula>
    </cfRule>
  </conditionalFormatting>
  <conditionalFormatting sqref="O87">
    <cfRule type="expression" dxfId="79" priority="46">
      <formula>$AS$87=1</formula>
    </cfRule>
  </conditionalFormatting>
  <conditionalFormatting sqref="R87">
    <cfRule type="expression" dxfId="78" priority="45">
      <formula>$AT$87=1</formula>
    </cfRule>
  </conditionalFormatting>
  <conditionalFormatting sqref="E88">
    <cfRule type="expression" dxfId="77" priority="44">
      <formula>$AO$88=1</formula>
    </cfRule>
  </conditionalFormatting>
  <conditionalFormatting sqref="F88">
    <cfRule type="expression" dxfId="76" priority="43">
      <formula>$AP$88=1</formula>
    </cfRule>
  </conditionalFormatting>
  <conditionalFormatting sqref="I88">
    <cfRule type="expression" dxfId="75" priority="42">
      <formula>$AQ$88=1</formula>
    </cfRule>
  </conditionalFormatting>
  <conditionalFormatting sqref="L88">
    <cfRule type="expression" dxfId="74" priority="41">
      <formula>$AR$88=1</formula>
    </cfRule>
  </conditionalFormatting>
  <conditionalFormatting sqref="O88">
    <cfRule type="expression" dxfId="73" priority="40">
      <formula>$AS$88=1</formula>
    </cfRule>
  </conditionalFormatting>
  <conditionalFormatting sqref="R88">
    <cfRule type="expression" dxfId="72" priority="39">
      <formula>$AT$88=1</formula>
    </cfRule>
  </conditionalFormatting>
  <conditionalFormatting sqref="E90">
    <cfRule type="expression" dxfId="71" priority="38">
      <formula>$AO$90=1</formula>
    </cfRule>
  </conditionalFormatting>
  <conditionalFormatting sqref="F90">
    <cfRule type="expression" dxfId="70" priority="37">
      <formula>$AP$90=1</formula>
    </cfRule>
  </conditionalFormatting>
  <conditionalFormatting sqref="I90">
    <cfRule type="expression" dxfId="69" priority="36">
      <formula>$AQ$90=1</formula>
    </cfRule>
  </conditionalFormatting>
  <conditionalFormatting sqref="L90">
    <cfRule type="expression" dxfId="68" priority="35">
      <formula>$AR$90=1</formula>
    </cfRule>
  </conditionalFormatting>
  <conditionalFormatting sqref="O90">
    <cfRule type="expression" dxfId="67" priority="34">
      <formula>$AS$90=1</formula>
    </cfRule>
  </conditionalFormatting>
  <conditionalFormatting sqref="R90">
    <cfRule type="expression" dxfId="66" priority="33">
      <formula>$AT$90=1</formula>
    </cfRule>
  </conditionalFormatting>
  <conditionalFormatting sqref="E92">
    <cfRule type="expression" dxfId="65" priority="32">
      <formula>$AO$92=1</formula>
    </cfRule>
  </conditionalFormatting>
  <conditionalFormatting sqref="F92">
    <cfRule type="expression" dxfId="64" priority="31">
      <formula>$AP$92=1</formula>
    </cfRule>
  </conditionalFormatting>
  <conditionalFormatting sqref="I92">
    <cfRule type="expression" dxfId="63" priority="30">
      <formula>$AQ$92=1</formula>
    </cfRule>
  </conditionalFormatting>
  <conditionalFormatting sqref="L92">
    <cfRule type="expression" dxfId="62" priority="29">
      <formula>$AR$92=1</formula>
    </cfRule>
  </conditionalFormatting>
  <conditionalFormatting sqref="O92">
    <cfRule type="expression" dxfId="61" priority="28">
      <formula>$AS$92=1</formula>
    </cfRule>
  </conditionalFormatting>
  <conditionalFormatting sqref="R92">
    <cfRule type="expression" dxfId="60" priority="27">
      <formula>$AT$92=1</formula>
    </cfRule>
  </conditionalFormatting>
  <conditionalFormatting sqref="E59">
    <cfRule type="expression" dxfId="59" priority="26">
      <formula>$AO$59=1</formula>
    </cfRule>
  </conditionalFormatting>
  <conditionalFormatting sqref="F59">
    <cfRule type="expression" dxfId="58" priority="25">
      <formula>$AP$59=1</formula>
    </cfRule>
  </conditionalFormatting>
  <conditionalFormatting sqref="I59">
    <cfRule type="expression" dxfId="57" priority="24">
      <formula>$AQ$59=1</formula>
    </cfRule>
  </conditionalFormatting>
  <conditionalFormatting sqref="L59">
    <cfRule type="expression" dxfId="56" priority="23">
      <formula>$AR$59=1</formula>
    </cfRule>
  </conditionalFormatting>
  <conditionalFormatting sqref="O59">
    <cfRule type="expression" dxfId="55" priority="22">
      <formula>$AS$59=1</formula>
    </cfRule>
  </conditionalFormatting>
  <conditionalFormatting sqref="R59">
    <cfRule type="expression" dxfId="54" priority="21">
      <formula>$AT$59=1</formula>
    </cfRule>
  </conditionalFormatting>
  <conditionalFormatting sqref="F62">
    <cfRule type="expression" dxfId="53" priority="19">
      <formula>$AP$62=1</formula>
    </cfRule>
  </conditionalFormatting>
  <conditionalFormatting sqref="I62">
    <cfRule type="expression" dxfId="52" priority="18">
      <formula>$AQ$62=1</formula>
    </cfRule>
  </conditionalFormatting>
  <conditionalFormatting sqref="L62">
    <cfRule type="expression" dxfId="51" priority="17">
      <formula>$AR$62=1</formula>
    </cfRule>
  </conditionalFormatting>
  <conditionalFormatting sqref="O62">
    <cfRule type="expression" dxfId="50" priority="16">
      <formula>$AS$62=1</formula>
    </cfRule>
  </conditionalFormatting>
  <conditionalFormatting sqref="R62">
    <cfRule type="expression" dxfId="49" priority="15">
      <formula>$AT$62=1</formula>
    </cfRule>
  </conditionalFormatting>
  <conditionalFormatting sqref="F63">
    <cfRule type="expression" dxfId="48" priority="13">
      <formula>$AP$63=1</formula>
    </cfRule>
  </conditionalFormatting>
  <conditionalFormatting sqref="I63">
    <cfRule type="expression" dxfId="47" priority="12">
      <formula>$AQ$63=1</formula>
    </cfRule>
  </conditionalFormatting>
  <conditionalFormatting sqref="L63">
    <cfRule type="expression" dxfId="46" priority="11">
      <formula>$AR$63=1</formula>
    </cfRule>
  </conditionalFormatting>
  <conditionalFormatting sqref="O63">
    <cfRule type="expression" dxfId="45" priority="10">
      <formula>$AS$63=1</formula>
    </cfRule>
  </conditionalFormatting>
  <conditionalFormatting sqref="R63">
    <cfRule type="expression" dxfId="44" priority="9">
      <formula>$AT$63=1</formula>
    </cfRule>
  </conditionalFormatting>
  <conditionalFormatting sqref="D10">
    <cfRule type="expression" dxfId="43" priority="6">
      <formula>$AC$10="Fail-Points"</formula>
    </cfRule>
    <cfRule type="expression" dxfId="42" priority="7">
      <formula>$AC$10="Fail-Required"</formula>
    </cfRule>
    <cfRule type="expression" dxfId="41" priority="8">
      <formula>$AC$10="Success"</formula>
    </cfRule>
  </conditionalFormatting>
  <conditionalFormatting sqref="B7">
    <cfRule type="expression" dxfId="40" priority="5">
      <formula>$AD$11="Fail"</formula>
    </cfRule>
  </conditionalFormatting>
  <conditionalFormatting sqref="B8">
    <cfRule type="expression" dxfId="39" priority="4">
      <formula>$AE$11="Fail"</formula>
    </cfRule>
  </conditionalFormatting>
  <conditionalFormatting sqref="B9">
    <cfRule type="expression" dxfId="38" priority="3">
      <formula>$AF$11="Fail"</formula>
    </cfRule>
  </conditionalFormatting>
  <conditionalFormatting sqref="B10">
    <cfRule type="expression" dxfId="37" priority="2">
      <formula>$AG$11="Fail"</formula>
    </cfRule>
  </conditionalFormatting>
  <conditionalFormatting sqref="B11">
    <cfRule type="expression" dxfId="36" priority="1">
      <formula>$AH$11="Fail"</formula>
    </cfRule>
  </conditionalFormatting>
  <dataValidations xWindow="820" yWindow="347" count="22">
    <dataValidation type="list" allowBlank="1" showInputMessage="1" showErrorMessage="1" sqref="C78:C96 C40:C45 C17:C30 C33:C37 C67:C75 C99:C103 C49:C64">
      <formula1>$AB$3:$AB$4</formula1>
    </dataValidation>
    <dataValidation type="list" allowBlank="1" showInputMessage="1" showErrorMessage="1" sqref="F104:T104">
      <formula1>"0,1"</formula1>
    </dataValidation>
    <dataValidation type="list" allowBlank="1" showInputMessage="1" showErrorMessage="1" sqref="P68 G68 J68 M68 S68">
      <formula1>"1,2,3"</formula1>
    </dataValidation>
    <dataValidation type="list" allowBlank="1" showInputMessage="1" showErrorMessage="1" sqref="V99:V103 V67:V75 V78:V96 V17:V37 V40:V45 V48:V64">
      <formula1>Project_Roles</formula1>
    </dataValidation>
    <dataValidation showInputMessage="1" showErrorMessage="1" sqref="W78:W96 W67:W75 W48:W64 W17:W37 W40:W45 W99:W103"/>
    <dataValidation type="list" allowBlank="1" showInputMessage="1" showErrorMessage="1" sqref="J55 M55 P55 S55 G55">
      <formula1>"1,2,3,4,5"</formula1>
    </dataValidation>
    <dataValidation type="list" allowBlank="1" showInputMessage="1" sqref="U99:U103 U67:U75 U78:U96 U48:U64 U40:U45 U17:U37">
      <formula1>"Outside project scope, Not LCCA effective (Energy-related items), Other (explain)"</formula1>
    </dataValidation>
    <dataValidation type="list" allowBlank="1" showInputMessage="1" showErrorMessage="1" sqref="M78:M96 G73:G75 S59 S50:S53 M62:M64 J69:J70 G62:G64 J67 G69:G70 G59 J62:J64 M40:M45 S78:S96 P69:P70 M67 J59 M59 M73:M75 P59 G67 S69:S70 S62:S64 P67 M69:M70 P62:P64 P73:P75 S67 J73:J75 P48 M48 J48 G48 S48 P50:P53 M50:M53 J50:J53 G50:G53 S40:S45 G40:G45 S73:S75 P78:P96 G33:G37 J78:J96 J40:J45 G17:G31 M33:M37 S99:S103 J33:J37 J17:J31 P99:P103 S33:S37 S17:S31 J99:J103 P33:P37 P17:P31 G78:G96 M99:M103 M17:M31 P40:P45 G99:G103">
      <formula1>"1"</formula1>
    </dataValidation>
    <dataValidation type="list" allowBlank="1" showInputMessage="1" showErrorMessage="1" sqref="G56:G58 J56:J58 M56:M58 P56:P58 P32 J32 M32 G32 S32 S56:S58">
      <formula1>"2"</formula1>
    </dataValidation>
    <dataValidation type="list" allowBlank="1" showInputMessage="1" showErrorMessage="1" sqref="S49 G60:G61 S60:S61 G71:G72 J60:J61 M60:M61 J71:J72 M71:M72 P60:P61 P71:P72 G49 J49 M49 P49 S71:S72">
      <formula1>"3"</formula1>
    </dataValidation>
    <dataValidation type="list" allowBlank="1" showInputMessage="1" showErrorMessage="1" sqref="D6">
      <formula1>"New_Construction, Addition, Renovation/Maintenance"</formula1>
    </dataValidation>
    <dataValidation type="list" allowBlank="1" showInputMessage="1" showErrorMessage="1" prompt="Select Project Phase to populate Credit Verification Form_x000a_" sqref="D7">
      <formula1>$Z$4:$Z$9</formula1>
    </dataValidation>
    <dataValidation type="list" allowBlank="1" showInputMessage="1" showErrorMessage="1" sqref="U10:U12">
      <formula1>"Environmental Consultant, Interiors, Other"</formula1>
    </dataValidation>
    <dataValidation type="list" allowBlank="1" showInputMessage="1" showErrorMessage="1" sqref="D8:D9">
      <formula1>$X$3:$X$6</formula1>
    </dataValidation>
    <dataValidation type="list" allowBlank="1" showInputMessage="1" showErrorMessage="1" sqref="F17:F37 R99:R103 I17:I37 L17:L37 O17:O37 F40:F45 I40:I45 L40:L45 O40:O45 R40:R45 F48 F50:F53 I48 I50:I53 L48 L50:L53 R48 R50:R53 F56:F64 I56:I64 L56:L64 O56:O64 R56:R64 O48:O53 F67:F75 I67:I75 L67:L75 O67:O75 R67:R75 F78:F96 I78:I96 L78:L96 O78:O96 R78:R96 F99:F103 I99:I103 L99:L103 O99:O103 R17:R37">
      <formula1>INDIRECT($X17)</formula1>
    </dataValidation>
    <dataValidation type="list" allowBlank="1" showInputMessage="1" showErrorMessage="1" sqref="C32">
      <formula1>INDIRECT($Y$32)</formula1>
    </dataValidation>
    <dataValidation type="list" allowBlank="1" showInputMessage="1" showErrorMessage="1" sqref="F49 I49 L49 R49">
      <formula1>INDIRECT($X$49)</formula1>
    </dataValidation>
    <dataValidation type="list" allowBlank="1" showInputMessage="1" showErrorMessage="1" sqref="G54 J54 M54 P54 S54">
      <formula1>"1,2,3,4,5,6,7,8"</formula1>
    </dataValidation>
    <dataValidation type="list" allowBlank="1" showInputMessage="1" showErrorMessage="1" sqref="F54 I54 L54 O54 R54">
      <formula1>INDIRECT($X$54)</formula1>
    </dataValidation>
    <dataValidation type="list" allowBlank="1" showInputMessage="1" showErrorMessage="1" sqref="F55 I55 L55 O55 R55">
      <formula1>INDIRECT($X$55)</formula1>
    </dataValidation>
    <dataValidation type="list" allowBlank="1" showInputMessage="1" showErrorMessage="1" sqref="C31">
      <formula1>INDIRECT($Y$31)</formula1>
    </dataValidation>
    <dataValidation type="list" allowBlank="1" showInputMessage="1" showErrorMessage="1" sqref="C48">
      <formula1>INDIRECT($Y$48)</formula1>
    </dataValidation>
  </dataValidations>
  <printOptions horizontalCentered="1"/>
  <pageMargins left="0.7" right="0.7" top="0.75" bottom="0.75" header="0.3" footer="0.3"/>
  <pageSetup paperSize="232" scale="72" fitToHeight="4" orientation="landscape" r:id="rId1"/>
  <headerFooter alignWithMargins="0">
    <oddFooter>&amp;LPrint Date: &amp;D &amp;T&amp;CState of Tennessee HPBr 2/20/18&amp;RPage &amp;P of &amp;N</oddFooter>
  </headerFooter>
  <rowBreaks count="2" manualBreakCount="2">
    <brk id="45" max="22" man="1"/>
    <brk id="75" max="22"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workbookViewId="0">
      <selection activeCell="D74" sqref="D74:D78"/>
    </sheetView>
  </sheetViews>
  <sheetFormatPr defaultRowHeight="12.75" x14ac:dyDescent="0.2"/>
  <cols>
    <col min="2" max="2" width="27.42578125" customWidth="1"/>
  </cols>
  <sheetData>
    <row r="1" spans="1:4" x14ac:dyDescent="0.2">
      <c r="A1" t="s">
        <v>139</v>
      </c>
      <c r="B1" t="s">
        <v>3</v>
      </c>
      <c r="C1" t="s">
        <v>458</v>
      </c>
    </row>
    <row r="2" spans="1:4" x14ac:dyDescent="0.2">
      <c r="A2" t="str">
        <f>'HPBr Checklist'!B17</f>
        <v>LM1.1</v>
      </c>
      <c r="B2" t="s">
        <v>391</v>
      </c>
      <c r="C2" t="str">
        <f>A2&amp;" "&amp;B2</f>
        <v>LM1.1 Site Selection - Reuse Existing Buildings</v>
      </c>
      <c r="D2" t="str">
        <f>'HPBr Checklist'!V17</f>
        <v>O</v>
      </c>
    </row>
    <row r="3" spans="1:4" x14ac:dyDescent="0.2">
      <c r="A3" t="str">
        <f>'HPBr Checklist'!B18</f>
        <v>LM1.2</v>
      </c>
      <c r="B3" t="s">
        <v>392</v>
      </c>
      <c r="C3" t="str">
        <f t="shared" ref="C3:C66" si="0">A3&amp;" "&amp;B3</f>
        <v>LM1.2 Site Selection -  Show preference for building on developed sites: Preserve farmland/habitat, wetlands, floodplains, public parkland</v>
      </c>
      <c r="D3" t="str">
        <f>'HPBr Checklist'!V18</f>
        <v>O</v>
      </c>
    </row>
    <row r="4" spans="1:4" x14ac:dyDescent="0.2">
      <c r="A4" t="str">
        <f>'HPBr Checklist'!B19</f>
        <v>LM1.3</v>
      </c>
      <c r="B4" t="s">
        <v>393</v>
      </c>
      <c r="C4" t="str">
        <f t="shared" si="0"/>
        <v>LM1.3 Site Selection - Brownfield Redevelopment -  Remediate and Restore contaminated sites when possible</v>
      </c>
      <c r="D4" t="str">
        <f>'HPBr Checklist'!V19</f>
        <v>O</v>
      </c>
    </row>
    <row r="5" spans="1:4" x14ac:dyDescent="0.2">
      <c r="A5" t="str">
        <f>'HPBr Checklist'!B20</f>
        <v>LM1.4</v>
      </c>
      <c r="B5" t="s">
        <v>394</v>
      </c>
      <c r="C5" t="str">
        <f t="shared" si="0"/>
        <v>LM1.4 Site Selection - Urban Development - Locate building within existing infrastructure</v>
      </c>
      <c r="D5" t="str">
        <f>'HPBr Checklist'!V20</f>
        <v>O</v>
      </c>
    </row>
    <row r="6" spans="1:4" x14ac:dyDescent="0.2">
      <c r="A6" t="str">
        <f>'HPBr Checklist'!B21</f>
        <v>LM2.1</v>
      </c>
      <c r="B6" t="s">
        <v>395</v>
      </c>
      <c r="C6" t="str">
        <f t="shared" si="0"/>
        <v>LM2.1 Site Disturbance - Sediment and Erosion control during construction</v>
      </c>
      <c r="D6" t="str">
        <f>'HPBr Checklist'!V21</f>
        <v>C</v>
      </c>
    </row>
    <row r="7" spans="1:4" x14ac:dyDescent="0.2">
      <c r="A7" t="str">
        <f>'HPBr Checklist'!B22</f>
        <v>LM2.2</v>
      </c>
      <c r="B7" t="s">
        <v>396</v>
      </c>
      <c r="C7" t="str">
        <f t="shared" si="0"/>
        <v>LM2.2 Site Disturbance - Limit site disturbance during construction to minimum development footprint</v>
      </c>
      <c r="D7" t="str">
        <f>'HPBr Checklist'!V22</f>
        <v>CE</v>
      </c>
    </row>
    <row r="8" spans="1:4" x14ac:dyDescent="0.2">
      <c r="A8" t="str">
        <f>'HPBr Checklist'!B23</f>
        <v>LM3.1</v>
      </c>
      <c r="B8" t="s">
        <v>397</v>
      </c>
      <c r="C8" t="str">
        <f t="shared" si="0"/>
        <v>LM3.1 Transportation - Plan for access to public transportation</v>
      </c>
      <c r="D8" t="str">
        <f>'HPBr Checklist'!V23</f>
        <v>O</v>
      </c>
    </row>
    <row r="9" spans="1:4" x14ac:dyDescent="0.2">
      <c r="A9" t="str">
        <f>'HPBr Checklist'!B24</f>
        <v>LM3.2</v>
      </c>
      <c r="B9" t="s">
        <v>398</v>
      </c>
      <c r="C9" t="str">
        <f t="shared" si="0"/>
        <v>LM3.2 Transportation  - Provide bicycle storage for 5% of building occupants and shower/changing facilities for 0.5% of FTE occupants</v>
      </c>
      <c r="D9" t="str">
        <f>'HPBr Checklist'!V24</f>
        <v>CE</v>
      </c>
    </row>
    <row r="10" spans="1:4" x14ac:dyDescent="0.2">
      <c r="A10" t="str">
        <f>'HPBr Checklist'!B25</f>
        <v>LM3.3</v>
      </c>
      <c r="B10" t="s">
        <v>399</v>
      </c>
      <c r="C10" t="str">
        <f t="shared" si="0"/>
        <v>LM3.3 Transportation - Plan site  to include preferred parking for carpooling for 5% of all spaces provided</v>
      </c>
      <c r="D10" t="str">
        <f>'HPBr Checklist'!V25</f>
        <v>CE</v>
      </c>
    </row>
    <row r="11" spans="1:4" x14ac:dyDescent="0.2">
      <c r="A11" t="str">
        <f>'HPBr Checklist'!B26</f>
        <v>LM3.4</v>
      </c>
      <c r="B11" t="s">
        <v>400</v>
      </c>
      <c r="C11" t="str">
        <f t="shared" si="0"/>
        <v>LM3.4 Transportation - Plan site  to include preferred parking for low-emitting/fuel efficient vehicles for 5% of all spaces provided</v>
      </c>
      <c r="D11" t="str">
        <f>'HPBr Checklist'!V26</f>
        <v>CE</v>
      </c>
    </row>
    <row r="12" spans="1:4" x14ac:dyDescent="0.2">
      <c r="A12" t="str">
        <f>'HPBr Checklist'!B27</f>
        <v>LM4.1</v>
      </c>
      <c r="B12" t="s">
        <v>401</v>
      </c>
      <c r="C12" t="str">
        <f t="shared" si="0"/>
        <v>LM4.1 Landscape Design - Maximize vegetated open space</v>
      </c>
      <c r="D12" t="str">
        <f>'HPBr Checklist'!V27</f>
        <v>Other</v>
      </c>
    </row>
    <row r="13" spans="1:4" x14ac:dyDescent="0.2">
      <c r="A13" t="str">
        <f>'HPBr Checklist'!B28</f>
        <v>LM4.2</v>
      </c>
      <c r="B13" t="s">
        <v>402</v>
      </c>
      <c r="C13" t="str">
        <f t="shared" si="0"/>
        <v>LM4.2 Landscape Design - Native and drought tolerant planting</v>
      </c>
      <c r="D13" t="str">
        <f>'HPBr Checklist'!V28</f>
        <v>Other</v>
      </c>
    </row>
    <row r="14" spans="1:4" x14ac:dyDescent="0.2">
      <c r="A14" t="str">
        <f>'HPBr Checklist'!B29</f>
        <v>LM5.1</v>
      </c>
      <c r="B14" t="s">
        <v>403</v>
      </c>
      <c r="C14" t="str">
        <f t="shared" si="0"/>
        <v>LM5.1 Heat Island Reduction - Non roof surface reflectivity and shading</v>
      </c>
      <c r="D14" t="str">
        <f>'HPBr Checklist'!V29</f>
        <v>CE</v>
      </c>
    </row>
    <row r="15" spans="1:4" x14ac:dyDescent="0.2">
      <c r="A15" t="str">
        <f>'HPBr Checklist'!B30</f>
        <v>LM5.2</v>
      </c>
      <c r="B15" t="s">
        <v>404</v>
      </c>
      <c r="C15" t="str">
        <f t="shared" si="0"/>
        <v>LM5.2 Heat Island Reduction - Reflective roof materials</v>
      </c>
      <c r="D15" t="str">
        <f>'HPBr Checklist'!V30</f>
        <v>A</v>
      </c>
    </row>
    <row r="16" spans="1:4" x14ac:dyDescent="0.2">
      <c r="A16" t="str">
        <f>'HPBr Checklist'!B31</f>
        <v>LM6.1</v>
      </c>
      <c r="B16" t="s">
        <v>405</v>
      </c>
      <c r="C16" t="str">
        <f t="shared" si="0"/>
        <v>LM6.1 Stormwater Design - Post development discharge rate and volume not to exceed Pre-development rate</v>
      </c>
      <c r="D16" t="str">
        <f>'HPBr Checklist'!V31</f>
        <v>CE</v>
      </c>
    </row>
    <row r="17" spans="1:4" x14ac:dyDescent="0.2">
      <c r="A17" t="str">
        <f>'HPBr Checklist'!B32</f>
        <v>LM6.2</v>
      </c>
      <c r="B17" t="s">
        <v>406</v>
      </c>
      <c r="C17" t="str">
        <f t="shared" si="0"/>
        <v>LM6.2 Stormwater Design - Reduce discharge rate and volume 25% on previously developed sites.</v>
      </c>
      <c r="D17" t="str">
        <f>'HPBr Checklist'!V32</f>
        <v>CE</v>
      </c>
    </row>
    <row r="18" spans="1:4" x14ac:dyDescent="0.2">
      <c r="A18" t="str">
        <f>'HPBr Checklist'!B33</f>
        <v>LM6.3</v>
      </c>
      <c r="B18" t="s">
        <v>407</v>
      </c>
      <c r="C18" t="str">
        <f t="shared" si="0"/>
        <v>LM6.3 Stormwater Design - Design to remove 80% Total Suspended solids from the average annual rainfall event.  Verify local requirements.</v>
      </c>
      <c r="D18" t="str">
        <f>'HPBr Checklist'!V33</f>
        <v>CE</v>
      </c>
    </row>
    <row r="19" spans="1:4" x14ac:dyDescent="0.2">
      <c r="A19" t="str">
        <f>'HPBr Checklist'!B34</f>
        <v>LM6.4</v>
      </c>
      <c r="B19" t="s">
        <v>408</v>
      </c>
      <c r="C19" t="str">
        <f t="shared" si="0"/>
        <v>LM6.4 Stormwater Design - Design per TDEC BMP References</v>
      </c>
      <c r="D19" t="str">
        <f>'HPBr Checklist'!V34</f>
        <v>CE</v>
      </c>
    </row>
    <row r="20" spans="1:4" x14ac:dyDescent="0.2">
      <c r="A20" t="str">
        <f>'HPBr Checklist'!B35</f>
        <v>LM7.1</v>
      </c>
      <c r="B20" t="s">
        <v>409</v>
      </c>
      <c r="C20" t="str">
        <f t="shared" si="0"/>
        <v>LM7.1 Exterior Site Lighting - Design exterior lighting power to be 20% less than is allowed by ASHRAE 90.1-2007</v>
      </c>
      <c r="D20" t="str">
        <f>'HPBr Checklist'!V35</f>
        <v>EE</v>
      </c>
    </row>
    <row r="21" spans="1:4" x14ac:dyDescent="0.2">
      <c r="A21" t="str">
        <f>'HPBr Checklist'!B36</f>
        <v>LM7.2</v>
      </c>
      <c r="B21" t="s">
        <v>410</v>
      </c>
      <c r="C21" t="str">
        <f t="shared" si="0"/>
        <v>LM7.2 Exterior Site Lighting - Locate fixtures to minimize illuminance above the horizontal plane</v>
      </c>
      <c r="D21" t="str">
        <f>'HPBr Checklist'!V36</f>
        <v>EE</v>
      </c>
    </row>
    <row r="22" spans="1:4" x14ac:dyDescent="0.2">
      <c r="A22" t="str">
        <f>'HPBr Checklist'!B37</f>
        <v>LM7.3</v>
      </c>
      <c r="B22" t="s">
        <v>411</v>
      </c>
      <c r="C22" t="str">
        <f t="shared" si="0"/>
        <v>LM7.3 Exterior Site Lighting - Locate exterior fixtures to minimize light trespass at property lines.  Document foot-candle levels at site boundary</v>
      </c>
      <c r="D22" t="str">
        <f>'HPBr Checklist'!V37</f>
        <v>EE</v>
      </c>
    </row>
    <row r="23" spans="1:4" x14ac:dyDescent="0.2">
      <c r="A23" t="str">
        <f>'HPBr Checklist'!B40</f>
        <v>WE1.1</v>
      </c>
      <c r="B23" t="s">
        <v>412</v>
      </c>
      <c r="C23" t="str">
        <f t="shared" si="0"/>
        <v>WE1.1 Water Efficient Landscaping, Utilize efficient irrigation technologies and planting measures</v>
      </c>
      <c r="D23" t="str">
        <f>'HPBr Checklist'!V40</f>
        <v>ME</v>
      </c>
    </row>
    <row r="24" spans="1:4" x14ac:dyDescent="0.2">
      <c r="A24" t="str">
        <f>'HPBr Checklist'!B41</f>
        <v>WE.1.2</v>
      </c>
      <c r="B24" t="s">
        <v>413</v>
      </c>
      <c r="C24" t="str">
        <f t="shared" si="0"/>
        <v>WE.1.2 Water Efficient Landscaping, Non potable sources or no irrigation</v>
      </c>
      <c r="D24" t="str">
        <f>'HPBr Checklist'!V41</f>
        <v>A</v>
      </c>
    </row>
    <row r="25" spans="1:4" x14ac:dyDescent="0.2">
      <c r="A25" t="str">
        <f>'HPBr Checklist'!B42</f>
        <v>WE2.1</v>
      </c>
      <c r="B25" t="s">
        <v>414</v>
      </c>
      <c r="C25" t="str">
        <f t="shared" si="0"/>
        <v>WE2.1 Wastewater Treatment &amp; Conveyance: On site treatment</v>
      </c>
      <c r="D25" t="str">
        <f>'HPBr Checklist'!V42</f>
        <v>ME</v>
      </c>
    </row>
    <row r="26" spans="1:4" x14ac:dyDescent="0.2">
      <c r="A26" t="str">
        <f>'HPBr Checklist'!B43</f>
        <v>WE2.2</v>
      </c>
      <c r="B26" t="s">
        <v>415</v>
      </c>
      <c r="C26" t="str">
        <f t="shared" si="0"/>
        <v>WE2.2 Wastewater Treatment &amp; Conveyance: Utilize non potable water</v>
      </c>
      <c r="D26" t="str">
        <f>'HPBr Checklist'!V43</f>
        <v>ME</v>
      </c>
    </row>
    <row r="27" spans="1:4" x14ac:dyDescent="0.2">
      <c r="A27" t="str">
        <f>'HPBr Checklist'!B44</f>
        <v>WE3.1</v>
      </c>
      <c r="B27" t="s">
        <v>416</v>
      </c>
      <c r="C27" t="str">
        <f t="shared" si="0"/>
        <v>WE3.1 Water Use Reduction - Fixture flow and flush rates</v>
      </c>
      <c r="D27" t="str">
        <f>'HPBr Checklist'!V44</f>
        <v>ME</v>
      </c>
    </row>
    <row r="28" spans="1:4" x14ac:dyDescent="0.2">
      <c r="A28" t="str">
        <f>'HPBr Checklist'!B45</f>
        <v>WE3.2</v>
      </c>
      <c r="B28" t="s">
        <v>417</v>
      </c>
      <c r="C28" t="str">
        <f t="shared" si="0"/>
        <v>WE3.2 Water Use Reduction - Utilize auto-flow / auto-flush valves</v>
      </c>
      <c r="D28" t="str">
        <f>'HPBr Checklist'!V45</f>
        <v>ME</v>
      </c>
    </row>
    <row r="29" spans="1:4" x14ac:dyDescent="0.2">
      <c r="A29" t="str">
        <f>'HPBr Checklist'!B48</f>
        <v>EE1.1</v>
      </c>
      <c r="B29" t="s">
        <v>418</v>
      </c>
      <c r="C29" t="str">
        <f t="shared" si="0"/>
        <v>EE1.1 Commissioning - Basic commissioning process</v>
      </c>
      <c r="D29" t="str">
        <f>'HPBr Checklist'!V48</f>
        <v>CxA</v>
      </c>
    </row>
    <row r="30" spans="1:4" x14ac:dyDescent="0.2">
      <c r="A30" t="str">
        <f>'HPBr Checklist'!B49</f>
        <v>EE1.2</v>
      </c>
      <c r="B30" t="s">
        <v>419</v>
      </c>
      <c r="C30" t="str">
        <f t="shared" si="0"/>
        <v>EE1.2 Commissioning - Advanced commissioning process</v>
      </c>
      <c r="D30" t="str">
        <f>'HPBr Checklist'!V49</f>
        <v>CxA</v>
      </c>
    </row>
    <row r="31" spans="1:4" x14ac:dyDescent="0.2">
      <c r="A31" t="str">
        <f>'HPBr Checklist'!B50</f>
        <v>EE2.1</v>
      </c>
      <c r="B31" t="s">
        <v>420</v>
      </c>
      <c r="C31" t="str">
        <f t="shared" si="0"/>
        <v>EE2.1 Energy Efficient Purchasing Policy - Energy Star qualified appliances &amp; equipment</v>
      </c>
      <c r="D31" t="str">
        <f>'HPBr Checklist'!V50</f>
        <v>O</v>
      </c>
    </row>
    <row r="32" spans="1:4" x14ac:dyDescent="0.2">
      <c r="A32" t="str">
        <f>'HPBr Checklist'!B51</f>
        <v>EE3.1</v>
      </c>
      <c r="B32" t="s">
        <v>421</v>
      </c>
      <c r="C32" t="str">
        <f t="shared" si="0"/>
        <v>EE3.1 Energy Efficiency - in New Construction and Renovation Projects; Schematic Design energy modeling</v>
      </c>
      <c r="D32" t="str">
        <f>'HPBr Checklist'!V51</f>
        <v>Other</v>
      </c>
    </row>
    <row r="33" spans="1:4" x14ac:dyDescent="0.2">
      <c r="A33" t="str">
        <f>'HPBr Checklist'!B52</f>
        <v>EE3.2</v>
      </c>
      <c r="B33" t="s">
        <v>422</v>
      </c>
      <c r="C33" t="str">
        <f t="shared" si="0"/>
        <v xml:space="preserve">EE3.2 Energy Efficiency - Life Cycle Cost Analysis </v>
      </c>
      <c r="D33" t="str">
        <f>'HPBr Checklist'!V52</f>
        <v>Other</v>
      </c>
    </row>
    <row r="34" spans="1:4" x14ac:dyDescent="0.2">
      <c r="A34" t="str">
        <f>'HPBr Checklist'!B53</f>
        <v>EE3.3</v>
      </c>
      <c r="B34" t="s">
        <v>423</v>
      </c>
      <c r="C34" t="str">
        <f t="shared" si="0"/>
        <v>EE3.3 Minimum Energy Performance - all projects to demonstrate compliance with ASHRAE 90.1-2010, according to project scope</v>
      </c>
      <c r="D34" t="str">
        <f>'HPBr Checklist'!V53</f>
        <v>Other</v>
      </c>
    </row>
    <row r="35" spans="1:4" x14ac:dyDescent="0.2">
      <c r="A35" t="str">
        <f>'HPBr Checklist'!B54</f>
        <v>EE3.4</v>
      </c>
      <c r="B35" t="s">
        <v>424</v>
      </c>
      <c r="C35" t="str">
        <f t="shared" si="0"/>
        <v>EE3.4 Improved Energy Performance - in New Construction &amp; Renovation Projects  points are available if the energy model is used during design and final design demonstrates energy cost savings that exceed those required by the Minimum Energy Performance credit (EE3.3)</v>
      </c>
      <c r="D35" t="str">
        <f>'HPBr Checklist'!V54</f>
        <v>Other</v>
      </c>
    </row>
    <row r="36" spans="1:4" x14ac:dyDescent="0.2">
      <c r="A36" t="str">
        <f>'HPBr Checklist'!B55</f>
        <v>EE4.1</v>
      </c>
      <c r="B36" t="s">
        <v>425</v>
      </c>
      <c r="C36" t="str">
        <f t="shared" si="0"/>
        <v>EE4.1 Energy Efficiency in Existing Buildings - Lighting Power Reduction</v>
      </c>
      <c r="D36" t="str">
        <f>'HPBr Checklist'!V55</f>
        <v>EE</v>
      </c>
    </row>
    <row r="37" spans="1:4" x14ac:dyDescent="0.2">
      <c r="A37" t="str">
        <f>'HPBr Checklist'!B56</f>
        <v>EE4.2</v>
      </c>
      <c r="B37" t="s">
        <v>426</v>
      </c>
      <c r="C37" t="str">
        <f t="shared" si="0"/>
        <v>EE4.2 Energy Efficiency in Existing Buildings - Daylight Harvesting Controls</v>
      </c>
      <c r="D37" t="str">
        <f>'HPBr Checklist'!V56</f>
        <v>EE</v>
      </c>
    </row>
    <row r="38" spans="1:4" x14ac:dyDescent="0.2">
      <c r="A38" t="str">
        <f>'HPBr Checklist'!B57</f>
        <v>EE4.3</v>
      </c>
      <c r="B38" t="s">
        <v>427</v>
      </c>
      <c r="C38" t="str">
        <f t="shared" si="0"/>
        <v>EE4.3 Energy Efficiency in Existing Buildings - Occupancy sensor-controlled lighting</v>
      </c>
      <c r="D38" t="str">
        <f>'HPBr Checklist'!V57</f>
        <v>EE</v>
      </c>
    </row>
    <row r="39" spans="1:4" x14ac:dyDescent="0.2">
      <c r="A39" t="str">
        <f>'HPBr Checklist'!B58</f>
        <v>EE4.4</v>
      </c>
      <c r="B39" t="s">
        <v>428</v>
      </c>
      <c r="C39" t="str">
        <f t="shared" si="0"/>
        <v>EE4.4 Energy Efficiency in Existing Buildings - High efficiency HVAC Equipment</v>
      </c>
      <c r="D39" t="str">
        <f>'HPBr Checklist'!V58</f>
        <v>ME</v>
      </c>
    </row>
    <row r="40" spans="1:4" x14ac:dyDescent="0.2">
      <c r="A40" t="str">
        <f>'HPBr Checklist'!B59</f>
        <v>EE5.1</v>
      </c>
      <c r="B40" t="s">
        <v>429</v>
      </c>
      <c r="C40" t="str">
        <f t="shared" si="0"/>
        <v>EE5.1 Energy Metering, Monitoring and Reporting:  Building-Level Metering</v>
      </c>
      <c r="D40" t="str">
        <f>'HPBr Checklist'!V59</f>
        <v>ME</v>
      </c>
    </row>
    <row r="41" spans="1:4" x14ac:dyDescent="0.2">
      <c r="A41" t="str">
        <f>'HPBr Checklist'!B60</f>
        <v>EE5.2</v>
      </c>
      <c r="B41" t="s">
        <v>430</v>
      </c>
      <c r="C41" t="str">
        <f t="shared" si="0"/>
        <v>EE5.2 Energy Metering, Monitoring and Reporting: System level energy metering with measurement and verification - New Construction</v>
      </c>
      <c r="D41" t="str">
        <f>'HPBr Checklist'!V60</f>
        <v>Other</v>
      </c>
    </row>
    <row r="42" spans="1:4" x14ac:dyDescent="0.2">
      <c r="A42" t="str">
        <f>'HPBr Checklist'!B61</f>
        <v>EE5.3</v>
      </c>
      <c r="B42" t="s">
        <v>431</v>
      </c>
      <c r="C42" t="str">
        <f t="shared" si="0"/>
        <v>EE5.3 Energy Metering, Monitoring and Reporting: System level energy metering with measurement and verification - Existing Buildings</v>
      </c>
      <c r="D42" t="str">
        <f>'HPBr Checklist'!V61</f>
        <v>Other</v>
      </c>
    </row>
    <row r="43" spans="1:4" x14ac:dyDescent="0.2">
      <c r="A43" t="str">
        <f>'HPBr Checklist'!B62</f>
        <v>EE6.1</v>
      </c>
      <c r="B43" t="s">
        <v>432</v>
      </c>
      <c r="C43" t="str">
        <f t="shared" si="0"/>
        <v>EE6.1 Long-Term Energy Reporting - Maintain energy and water consumption data in Energy Star Portfolio Manager</v>
      </c>
      <c r="D43" t="str">
        <f>'HPBr Checklist'!V62</f>
        <v>O</v>
      </c>
    </row>
    <row r="44" spans="1:4" x14ac:dyDescent="0.2">
      <c r="A44" t="str">
        <f>'HPBr Checklist'!B63</f>
        <v>EE7.1</v>
      </c>
      <c r="B44" t="s">
        <v>433</v>
      </c>
      <c r="C44" t="str">
        <f t="shared" si="0"/>
        <v>EE7.1 Renewable Energy - Investigate life-cycle cost effectiveness of on-site renewable energy</v>
      </c>
      <c r="D44" t="str">
        <f>'HPBr Checklist'!V63</f>
        <v>Other</v>
      </c>
    </row>
    <row r="45" spans="1:4" x14ac:dyDescent="0.2">
      <c r="A45" t="str">
        <f>'HPBr Checklist'!B64</f>
        <v>EE7.2</v>
      </c>
      <c r="B45" t="s">
        <v>434</v>
      </c>
      <c r="C45" t="str">
        <f t="shared" si="0"/>
        <v>EE7.2 Renewable Energy -  Provide Renewable Energy Credits (RECs) equal to 10% of annual site electricity through TVA or RECs equal to 35% from another source</v>
      </c>
      <c r="D45" t="str">
        <f>'HPBr Checklist'!V64</f>
        <v>O</v>
      </c>
    </row>
    <row r="46" spans="1:4" x14ac:dyDescent="0.2">
      <c r="A46" t="str">
        <f>'HPBr Checklist'!B67</f>
        <v>MR1.1</v>
      </c>
      <c r="B46" t="s">
        <v>5</v>
      </c>
      <c r="C46" t="str">
        <f t="shared" si="0"/>
        <v>MR1.1 Recycling Storage and Collection</v>
      </c>
      <c r="D46" t="str">
        <f>'HPBr Checklist'!V67</f>
        <v>O</v>
      </c>
    </row>
    <row r="47" spans="1:4" x14ac:dyDescent="0.2">
      <c r="A47" t="str">
        <f>'HPBr Checklist'!B68</f>
        <v>MR2.1</v>
      </c>
      <c r="B47" t="s">
        <v>435</v>
      </c>
      <c r="C47" t="str">
        <f t="shared" si="0"/>
        <v>MR2.1 Construction Waste Management (50%, 75%, 95%)</v>
      </c>
      <c r="D47" t="str">
        <f>'HPBr Checklist'!V68</f>
        <v>C</v>
      </c>
    </row>
    <row r="48" spans="1:4" x14ac:dyDescent="0.2">
      <c r="A48" t="str">
        <f>'HPBr Checklist'!B69</f>
        <v>MR3.1</v>
      </c>
      <c r="B48" t="s">
        <v>436</v>
      </c>
      <c r="C48" t="str">
        <f t="shared" si="0"/>
        <v>MR3.1 Sustainable Materials: Recycled content 10%</v>
      </c>
      <c r="D48" t="str">
        <f>'HPBr Checklist'!V69</f>
        <v>A</v>
      </c>
    </row>
    <row r="49" spans="1:4" x14ac:dyDescent="0.2">
      <c r="A49" t="str">
        <f>'HPBr Checklist'!B70</f>
        <v>MR3.2</v>
      </c>
      <c r="B49" t="s">
        <v>437</v>
      </c>
      <c r="C49" t="str">
        <f t="shared" si="0"/>
        <v>MR3.2 Sustainable Materials: Recycled content 20%</v>
      </c>
      <c r="D49" t="str">
        <f>'HPBr Checklist'!V70</f>
        <v>A</v>
      </c>
    </row>
    <row r="50" spans="1:4" x14ac:dyDescent="0.2">
      <c r="A50" t="str">
        <f>'HPBr Checklist'!B71</f>
        <v>MR3.3</v>
      </c>
      <c r="B50" t="s">
        <v>124</v>
      </c>
      <c r="C50" t="str">
        <f t="shared" si="0"/>
        <v>MR3.3 Sustainable Materials: Tennessee Produced Materials (non-wood) - Harvested AND manufactured in state - 10% of total cost. Harvested OR manufactured in TN, 50% of product cost contributes to credit.</v>
      </c>
      <c r="D50" t="str">
        <f>'HPBr Checklist'!V71</f>
        <v>A</v>
      </c>
    </row>
    <row r="51" spans="1:4" x14ac:dyDescent="0.2">
      <c r="A51" t="str">
        <f>'HPBr Checklist'!B72</f>
        <v>MR3.4</v>
      </c>
      <c r="B51" t="s">
        <v>438</v>
      </c>
      <c r="C51" t="str">
        <f t="shared" si="0"/>
        <v xml:space="preserve">MR3.4 Sustainable Materials: Tennessee Produced Wood Products -Wood materials harvested AND manufactured in state - 50% of wood products. When harvested OR manufactured in state, 50% of material cost contributes to credit. </v>
      </c>
      <c r="D51" t="str">
        <f>'HPBr Checklist'!V72</f>
        <v>A</v>
      </c>
    </row>
    <row r="52" spans="1:4" x14ac:dyDescent="0.2">
      <c r="A52" t="str">
        <f>'HPBr Checklist'!B73</f>
        <v>MR3.5</v>
      </c>
      <c r="B52" t="s">
        <v>126</v>
      </c>
      <c r="C52" t="str">
        <f t="shared" si="0"/>
        <v>MR3.5 Sustainable Materials: Regional materials - 20%</v>
      </c>
      <c r="D52" t="str">
        <f>'HPBr Checklist'!V73</f>
        <v>A</v>
      </c>
    </row>
    <row r="53" spans="1:4" x14ac:dyDescent="0.2">
      <c r="A53" t="str">
        <f>'HPBr Checklist'!B74</f>
        <v>MR3.6</v>
      </c>
      <c r="B53" t="s">
        <v>439</v>
      </c>
      <c r="C53" t="str">
        <f t="shared" si="0"/>
        <v>MR3.6 Sustainable Materials: Material reuse</v>
      </c>
      <c r="D53" t="str">
        <f>'HPBr Checklist'!V74</f>
        <v>A</v>
      </c>
    </row>
    <row r="54" spans="1:4" x14ac:dyDescent="0.2">
      <c r="A54" t="str">
        <f>'HPBr Checklist'!B75</f>
        <v>MR3.7</v>
      </c>
      <c r="B54" t="s">
        <v>440</v>
      </c>
      <c r="C54" t="str">
        <f t="shared" si="0"/>
        <v>MR3.7 Sustainable Materials: Rapidly renewables</v>
      </c>
      <c r="D54" t="str">
        <f>'HPBr Checklist'!V75</f>
        <v>A</v>
      </c>
    </row>
    <row r="55" spans="1:4" x14ac:dyDescent="0.2">
      <c r="A55" t="str">
        <f>'HPBr Checklist'!B78</f>
        <v>EQ1.1</v>
      </c>
      <c r="B55" t="s">
        <v>6</v>
      </c>
      <c r="C55" t="str">
        <f t="shared" si="0"/>
        <v>EQ1.1 Tobacco Smoke Control</v>
      </c>
      <c r="D55" t="str">
        <f>'HPBr Checklist'!V78</f>
        <v>O</v>
      </c>
    </row>
    <row r="56" spans="1:4" x14ac:dyDescent="0.2">
      <c r="A56" t="str">
        <f>'HPBr Checklist'!B79</f>
        <v>EQ2.1</v>
      </c>
      <c r="B56" t="s">
        <v>441</v>
      </c>
      <c r="C56" t="str">
        <f t="shared" si="0"/>
        <v>EQ2.1 Minimum Ventilation: Design to meet ASHRAE 62.1-2007 or 2012 IMC</v>
      </c>
      <c r="D56" t="str">
        <f>'HPBr Checklist'!V79</f>
        <v>ME</v>
      </c>
    </row>
    <row r="57" spans="1:4" x14ac:dyDescent="0.2">
      <c r="A57" t="str">
        <f>'HPBr Checklist'!B80</f>
        <v>EQ3.1</v>
      </c>
      <c r="B57" t="s">
        <v>442</v>
      </c>
      <c r="C57" t="str">
        <f t="shared" si="0"/>
        <v>EQ3.1 Outdoor Air Delivery Monitoring: Provide a direct outdoor airflow measurement device</v>
      </c>
      <c r="D57" t="str">
        <f>'HPBr Checklist'!V80</f>
        <v>ME</v>
      </c>
    </row>
    <row r="58" spans="1:4" x14ac:dyDescent="0.2">
      <c r="A58" t="str">
        <f>'HPBr Checklist'!B81</f>
        <v>EQ4.1</v>
      </c>
      <c r="B58" t="s">
        <v>443</v>
      </c>
      <c r="C58" t="str">
        <f t="shared" si="0"/>
        <v>EQ4.1 CO2  Monitoring: Provide CO2 monitors in all high occupancy areas</v>
      </c>
      <c r="D58" t="str">
        <f>'HPBr Checklist'!V81</f>
        <v>ME</v>
      </c>
    </row>
    <row r="59" spans="1:4" x14ac:dyDescent="0.2">
      <c r="A59" t="str">
        <f>'HPBr Checklist'!B82</f>
        <v>EQ5.1</v>
      </c>
      <c r="B59" t="s">
        <v>444</v>
      </c>
      <c r="C59" t="str">
        <f t="shared" si="0"/>
        <v>EQ5.1 Air Quality Management: During construction</v>
      </c>
      <c r="D59" t="str">
        <f>'HPBr Checklist'!V82</f>
        <v>C</v>
      </c>
    </row>
    <row r="60" spans="1:4" x14ac:dyDescent="0.2">
      <c r="A60" t="str">
        <f>'HPBr Checklist'!B83</f>
        <v>EQ5.2</v>
      </c>
      <c r="B60" t="s">
        <v>445</v>
      </c>
      <c r="C60" t="str">
        <f t="shared" si="0"/>
        <v>EQ5.2 Air Quality Management: Before occupancy</v>
      </c>
      <c r="D60" t="str">
        <f>'HPBr Checklist'!V83</f>
        <v>C</v>
      </c>
    </row>
    <row r="61" spans="1:4" x14ac:dyDescent="0.2">
      <c r="A61" t="str">
        <f>'HPBr Checklist'!B84</f>
        <v>EQ6.1</v>
      </c>
      <c r="B61" t="s">
        <v>446</v>
      </c>
      <c r="C61" t="str">
        <f t="shared" si="0"/>
        <v>EQ6.1  Material VOC Limits: Adhesives and sealants</v>
      </c>
      <c r="D61" t="str">
        <f>'HPBr Checklist'!V84</f>
        <v>A</v>
      </c>
    </row>
    <row r="62" spans="1:4" x14ac:dyDescent="0.2">
      <c r="A62" t="str">
        <f>'HPBr Checklist'!B85</f>
        <v>EQ6.2</v>
      </c>
      <c r="B62" t="s">
        <v>447</v>
      </c>
      <c r="C62" t="str">
        <f t="shared" si="0"/>
        <v>EQ6.2  Material VOC Limits: Paints</v>
      </c>
      <c r="D62" t="str">
        <f>'HPBr Checklist'!V85</f>
        <v>A</v>
      </c>
    </row>
    <row r="63" spans="1:4" x14ac:dyDescent="0.2">
      <c r="A63" t="str">
        <f>'HPBr Checklist'!B86</f>
        <v>EQ6.3</v>
      </c>
      <c r="B63" t="s">
        <v>448</v>
      </c>
      <c r="C63" t="str">
        <f t="shared" si="0"/>
        <v>EQ6.3  Material VOC Limits: Coatings and anti-corrosive paints</v>
      </c>
      <c r="D63" t="str">
        <f>'HPBr Checklist'!V86</f>
        <v>A</v>
      </c>
    </row>
    <row r="64" spans="1:4" x14ac:dyDescent="0.2">
      <c r="A64" t="str">
        <f>'HPBr Checklist'!B87</f>
        <v>EQ6.4</v>
      </c>
      <c r="B64" t="s">
        <v>449</v>
      </c>
      <c r="C64" t="str">
        <f t="shared" si="0"/>
        <v>EQ6.4  Material VOC Limits: Flooring systems</v>
      </c>
      <c r="D64" t="str">
        <f>'HPBr Checklist'!V87</f>
        <v>A</v>
      </c>
    </row>
    <row r="65" spans="1:4" x14ac:dyDescent="0.2">
      <c r="A65" t="str">
        <f>'HPBr Checklist'!B88</f>
        <v>EQ6.5</v>
      </c>
      <c r="B65" t="s">
        <v>450</v>
      </c>
      <c r="C65" t="str">
        <f t="shared" si="0"/>
        <v>EQ6.5  Material VOC Limits: Composite wood and agrifiber</v>
      </c>
      <c r="D65" t="str">
        <f>'HPBr Checklist'!V88</f>
        <v>A</v>
      </c>
    </row>
    <row r="66" spans="1:4" x14ac:dyDescent="0.2">
      <c r="A66" t="str">
        <f>'HPBr Checklist'!B89</f>
        <v>EQ7.1</v>
      </c>
      <c r="B66" t="s">
        <v>451</v>
      </c>
      <c r="C66" t="str">
        <f t="shared" si="0"/>
        <v>EQ7.1  Pollutant Control: Entryway systems</v>
      </c>
      <c r="D66" t="str">
        <f>'HPBr Checklist'!V89</f>
        <v>A</v>
      </c>
    </row>
    <row r="67" spans="1:4" x14ac:dyDescent="0.2">
      <c r="A67" t="str">
        <f>'HPBr Checklist'!B90</f>
        <v>EQ7.2</v>
      </c>
      <c r="B67" t="s">
        <v>452</v>
      </c>
      <c r="C67" t="str">
        <f t="shared" ref="C67:C78" si="1">A67&amp;" "&amp;B67</f>
        <v>EQ7.2  Pollutant Control: Hazardous material storage</v>
      </c>
      <c r="D67" t="str">
        <f>'HPBr Checklist'!V90</f>
        <v>A</v>
      </c>
    </row>
    <row r="68" spans="1:4" x14ac:dyDescent="0.2">
      <c r="A68" t="str">
        <f>'HPBr Checklist'!B91</f>
        <v>EQ7.3</v>
      </c>
      <c r="B68" t="s">
        <v>453</v>
      </c>
      <c r="C68" t="str">
        <f t="shared" si="1"/>
        <v>EQ7.3  Pollutant Control: Filtration media</v>
      </c>
      <c r="D68" t="str">
        <f>'HPBr Checklist'!V91</f>
        <v>ME</v>
      </c>
    </row>
    <row r="69" spans="1:4" x14ac:dyDescent="0.2">
      <c r="A69" t="str">
        <f>'HPBr Checklist'!B92</f>
        <v>EQ8.1</v>
      </c>
      <c r="B69" t="s">
        <v>454</v>
      </c>
      <c r="C69" t="str">
        <f t="shared" si="1"/>
        <v xml:space="preserve">EQ8.1 Thermal Comfort: Design to meet ASHRAE Standard 55-2004 </v>
      </c>
      <c r="D69" t="str">
        <f>'HPBr Checklist'!V92</f>
        <v>ME</v>
      </c>
    </row>
    <row r="70" spans="1:4" x14ac:dyDescent="0.2">
      <c r="A70" t="str">
        <f>'HPBr Checklist'!B93</f>
        <v>EQ9.1</v>
      </c>
      <c r="B70" t="s">
        <v>455</v>
      </c>
      <c r="C70" t="str">
        <f t="shared" si="1"/>
        <v>EQ9.1 Individual Occupant System Controls: Lighting</v>
      </c>
      <c r="D70" t="str">
        <f>'HPBr Checklist'!V93</f>
        <v>EE</v>
      </c>
    </row>
    <row r="71" spans="1:4" x14ac:dyDescent="0.2">
      <c r="A71" t="str">
        <f>'HPBr Checklist'!B94</f>
        <v>EQ9.2</v>
      </c>
      <c r="B71" t="s">
        <v>456</v>
      </c>
      <c r="C71" t="str">
        <f t="shared" si="1"/>
        <v>EQ9.2 Individual Occupant System Controls: Thermal comfort</v>
      </c>
      <c r="D71" t="str">
        <f>'HPBr Checklist'!V94</f>
        <v>ME</v>
      </c>
    </row>
    <row r="72" spans="1:4" x14ac:dyDescent="0.2">
      <c r="A72" t="str">
        <f>'HPBr Checklist'!B95</f>
        <v>EQ10.1</v>
      </c>
      <c r="B72" t="s">
        <v>9</v>
      </c>
      <c r="C72" t="str">
        <f t="shared" si="1"/>
        <v>EQ10.1 Daylight to Occupied spaces</v>
      </c>
      <c r="D72" t="str">
        <f>'HPBr Checklist'!V95</f>
        <v>A</v>
      </c>
    </row>
    <row r="73" spans="1:4" x14ac:dyDescent="0.2">
      <c r="A73" t="str">
        <f>'HPBr Checklist'!B96</f>
        <v>EQ11.1</v>
      </c>
      <c r="B73" t="s">
        <v>10</v>
      </c>
      <c r="C73" t="str">
        <f t="shared" si="1"/>
        <v>EQ11.1 Views from Occupied spaces</v>
      </c>
      <c r="D73" t="str">
        <f>'HPBr Checklist'!V96</f>
        <v>A</v>
      </c>
    </row>
    <row r="74" spans="1:4" x14ac:dyDescent="0.2">
      <c r="A74" t="str">
        <f>'HPBr Checklist'!B99</f>
        <v>ID1.1</v>
      </c>
      <c r="B74" t="s">
        <v>457</v>
      </c>
      <c r="C74" t="str">
        <f t="shared" si="1"/>
        <v>ID1.1 Innovation in Design: Provide Specific Title</v>
      </c>
      <c r="D74" t="str">
        <f>'HPBr Checklist'!V99</f>
        <v>Other</v>
      </c>
    </row>
    <row r="75" spans="1:4" x14ac:dyDescent="0.2">
      <c r="A75" t="str">
        <f>'HPBr Checklist'!B100</f>
        <v>ID1.2</v>
      </c>
      <c r="B75" t="s">
        <v>457</v>
      </c>
      <c r="C75" t="str">
        <f t="shared" si="1"/>
        <v>ID1.2 Innovation in Design: Provide Specific Title</v>
      </c>
      <c r="D75" t="str">
        <f>'HPBr Checklist'!V100</f>
        <v>Other</v>
      </c>
    </row>
    <row r="76" spans="1:4" x14ac:dyDescent="0.2">
      <c r="A76" t="str">
        <f>'HPBr Checklist'!B101</f>
        <v>ID1.3</v>
      </c>
      <c r="B76" t="s">
        <v>457</v>
      </c>
      <c r="C76" t="str">
        <f t="shared" si="1"/>
        <v>ID1.3 Innovation in Design: Provide Specific Title</v>
      </c>
      <c r="D76" t="str">
        <f>'HPBr Checklist'!V101</f>
        <v>Other</v>
      </c>
    </row>
    <row r="77" spans="1:4" x14ac:dyDescent="0.2">
      <c r="A77" t="str">
        <f>'HPBr Checklist'!B102</f>
        <v>ID1.4</v>
      </c>
      <c r="B77" t="s">
        <v>457</v>
      </c>
      <c r="C77" t="str">
        <f t="shared" si="1"/>
        <v>ID1.4 Innovation in Design: Provide Specific Title</v>
      </c>
      <c r="D77" t="str">
        <f>'HPBr Checklist'!V102</f>
        <v>Other</v>
      </c>
    </row>
    <row r="78" spans="1:4" x14ac:dyDescent="0.2">
      <c r="A78" t="str">
        <f>'HPBr Checklist'!B103</f>
        <v>ID2.1</v>
      </c>
      <c r="B78" t="s">
        <v>8</v>
      </c>
      <c r="C78" t="str">
        <f t="shared" si="1"/>
        <v>ID2.1 Environmentally Accredited Design Team</v>
      </c>
      <c r="D78" t="str">
        <f>'HPBr Checklist'!V103</f>
        <v>Other</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50"/>
    <pageSetUpPr fitToPage="1"/>
  </sheetPr>
  <dimension ref="A1:II116"/>
  <sheetViews>
    <sheetView showGridLines="0" view="pageBreakPreview" zoomScale="85" zoomScaleNormal="100" zoomScaleSheetLayoutView="85" zoomScalePageLayoutView="70" workbookViewId="0">
      <selection activeCell="K8" sqref="K8"/>
    </sheetView>
  </sheetViews>
  <sheetFormatPr defaultColWidth="9.140625" defaultRowHeight="12.75" x14ac:dyDescent="0.2"/>
  <cols>
    <col min="1" max="1" width="13" style="13" customWidth="1"/>
    <col min="2" max="2" width="10.140625" style="13" bestFit="1" customWidth="1"/>
    <col min="3" max="3" width="68.42578125" style="352" customWidth="1"/>
    <col min="4" max="4" width="13" style="352" bestFit="1" customWidth="1"/>
    <col min="5" max="5" width="21.7109375" style="14" customWidth="1"/>
    <col min="6" max="6" width="9.140625" style="13"/>
    <col min="7" max="7" width="11.5703125" style="13" customWidth="1"/>
    <col min="8" max="16384" width="9.140625" style="13"/>
  </cols>
  <sheetData>
    <row r="1" spans="1:5" x14ac:dyDescent="0.2">
      <c r="C1" s="104"/>
      <c r="D1" s="104"/>
    </row>
    <row r="2" spans="1:5" ht="27" thickBot="1" x14ac:dyDescent="0.25">
      <c r="A2" s="773"/>
      <c r="B2" s="773"/>
      <c r="C2" s="235" t="s">
        <v>340</v>
      </c>
      <c r="D2" s="235"/>
      <c r="E2" s="531"/>
    </row>
    <row r="3" spans="1:5" ht="23.25" customHeight="1" x14ac:dyDescent="0.35">
      <c r="A3" s="774" t="s">
        <v>364</v>
      </c>
      <c r="B3" s="775"/>
      <c r="C3" s="346" t="s">
        <v>141</v>
      </c>
      <c r="D3" s="235"/>
      <c r="E3" s="763" t="s">
        <v>129</v>
      </c>
    </row>
    <row r="4" spans="1:5" ht="9" customHeight="1" x14ac:dyDescent="0.2">
      <c r="A4" s="776"/>
      <c r="B4" s="777"/>
      <c r="C4" s="771" t="s">
        <v>810</v>
      </c>
      <c r="D4" s="771"/>
      <c r="E4" s="764"/>
    </row>
    <row r="5" spans="1:5" ht="30" customHeight="1" x14ac:dyDescent="0.2">
      <c r="A5" s="778">
        <f>'HPBr Checklist'!B6</f>
        <v>52</v>
      </c>
      <c r="B5" s="779"/>
      <c r="C5" s="771"/>
      <c r="D5" s="771"/>
      <c r="E5" s="765">
        <f>A110</f>
        <v>0</v>
      </c>
    </row>
    <row r="6" spans="1:5" ht="34.5" customHeight="1" thickBot="1" x14ac:dyDescent="0.25">
      <c r="A6" s="780"/>
      <c r="B6" s="781"/>
      <c r="C6" s="771"/>
      <c r="D6" s="771"/>
      <c r="E6" s="766"/>
    </row>
    <row r="7" spans="1:5" ht="6.75" customHeight="1" x14ac:dyDescent="0.2">
      <c r="C7" s="772"/>
      <c r="D7" s="772"/>
      <c r="E7" s="13"/>
    </row>
    <row r="8" spans="1:5" ht="51" x14ac:dyDescent="0.2">
      <c r="A8" s="347" t="s">
        <v>115</v>
      </c>
      <c r="B8" s="348" t="s">
        <v>114</v>
      </c>
      <c r="C8" s="769" t="s">
        <v>150</v>
      </c>
      <c r="D8" s="770"/>
      <c r="E8" s="347" t="s">
        <v>116</v>
      </c>
    </row>
    <row r="9" spans="1:5" x14ac:dyDescent="0.2">
      <c r="A9" s="349" t="s">
        <v>321</v>
      </c>
      <c r="B9" s="350">
        <f>'HPBr Checklist'!V2</f>
        <v>0</v>
      </c>
      <c r="C9" s="767" t="s">
        <v>323</v>
      </c>
      <c r="D9" s="768"/>
      <c r="E9" s="414"/>
    </row>
    <row r="10" spans="1:5" ht="12.75" customHeight="1" x14ac:dyDescent="0.2">
      <c r="A10" s="351" t="s">
        <v>148</v>
      </c>
      <c r="B10" s="350">
        <f>'HPBr Checklist'!V3</f>
        <v>0</v>
      </c>
      <c r="C10" s="767" t="s">
        <v>323</v>
      </c>
      <c r="D10" s="768"/>
      <c r="E10" s="414"/>
    </row>
    <row r="11" spans="1:5" ht="12.75" customHeight="1" x14ac:dyDescent="0.2">
      <c r="A11" s="351" t="s">
        <v>147</v>
      </c>
      <c r="B11" s="350">
        <f>'HPBr Checklist'!V4</f>
        <v>0</v>
      </c>
      <c r="C11" s="767" t="s">
        <v>323</v>
      </c>
      <c r="D11" s="768"/>
      <c r="E11" s="414"/>
    </row>
    <row r="12" spans="1:5" ht="12.75" customHeight="1" x14ac:dyDescent="0.2">
      <c r="A12" s="351" t="s">
        <v>146</v>
      </c>
      <c r="B12" s="350">
        <f>'HPBr Checklist'!V5</f>
        <v>0</v>
      </c>
      <c r="C12" s="767" t="s">
        <v>323</v>
      </c>
      <c r="D12" s="768"/>
      <c r="E12" s="414"/>
    </row>
    <row r="13" spans="1:5" ht="12.75" customHeight="1" x14ac:dyDescent="0.2">
      <c r="A13" s="351" t="s">
        <v>149</v>
      </c>
      <c r="B13" s="350">
        <f>'HPBr Checklist'!V6</f>
        <v>0</v>
      </c>
      <c r="C13" s="767" t="s">
        <v>323</v>
      </c>
      <c r="D13" s="768"/>
      <c r="E13" s="414"/>
    </row>
    <row r="14" spans="1:5" x14ac:dyDescent="0.2">
      <c r="A14" s="351" t="s">
        <v>145</v>
      </c>
      <c r="B14" s="350">
        <f>'HPBr Checklist'!V7</f>
        <v>0</v>
      </c>
      <c r="C14" s="767" t="s">
        <v>323</v>
      </c>
      <c r="D14" s="768"/>
      <c r="E14" s="414"/>
    </row>
    <row r="15" spans="1:5" x14ac:dyDescent="0.2">
      <c r="A15" s="349" t="s">
        <v>707</v>
      </c>
      <c r="B15" s="350">
        <f>'HPBr Checklist'!V8</f>
        <v>0</v>
      </c>
      <c r="C15" s="767" t="s">
        <v>323</v>
      </c>
      <c r="D15" s="768"/>
      <c r="E15" s="414"/>
    </row>
    <row r="16" spans="1:5" x14ac:dyDescent="0.2">
      <c r="A16" s="349" t="s">
        <v>706</v>
      </c>
      <c r="B16" s="350">
        <f>'HPBr Checklist'!V9</f>
        <v>0</v>
      </c>
      <c r="C16" s="767" t="s">
        <v>323</v>
      </c>
      <c r="D16" s="768"/>
      <c r="E16" s="414"/>
    </row>
    <row r="17" spans="1:7" ht="12.75" customHeight="1" x14ac:dyDescent="0.2">
      <c r="A17" s="351" t="s">
        <v>144</v>
      </c>
      <c r="B17" s="350">
        <f>'HPBr Checklist'!V8</f>
        <v>0</v>
      </c>
      <c r="C17" s="767" t="s">
        <v>323</v>
      </c>
      <c r="D17" s="768"/>
      <c r="E17" s="414"/>
    </row>
    <row r="18" spans="1:7" ht="12.75" customHeight="1" thickBot="1" x14ac:dyDescent="0.25">
      <c r="A18" s="530" t="s">
        <v>705</v>
      </c>
    </row>
    <row r="19" spans="1:7" ht="39.950000000000003" customHeight="1" x14ac:dyDescent="0.2">
      <c r="A19" s="353">
        <f>SUM(A21:A41)</f>
        <v>0</v>
      </c>
      <c r="B19" s="354"/>
      <c r="C19" s="355" t="s">
        <v>132</v>
      </c>
      <c r="D19" s="356"/>
      <c r="E19" s="357"/>
    </row>
    <row r="20" spans="1:7" s="322" customFormat="1" ht="36" customHeight="1" x14ac:dyDescent="0.2">
      <c r="A20" s="605" t="s">
        <v>138</v>
      </c>
      <c r="B20" s="606" t="s">
        <v>139</v>
      </c>
      <c r="C20" s="607" t="s">
        <v>3</v>
      </c>
      <c r="D20" s="608" t="s">
        <v>265</v>
      </c>
      <c r="E20" s="609" t="s">
        <v>787</v>
      </c>
      <c r="F20" s="362"/>
      <c r="G20" s="362"/>
    </row>
    <row r="21" spans="1:7" s="368" customFormat="1" ht="27.95" customHeight="1" x14ac:dyDescent="0.2">
      <c r="A21" s="363">
        <f>'HPBr Checklist'!$R17</f>
        <v>0</v>
      </c>
      <c r="B21" s="364" t="str">
        <f>'HPBr Checklist'!B17</f>
        <v>LM1.1</v>
      </c>
      <c r="C21" s="365" t="str">
        <f>'HPBr Checklist'!D17</f>
        <v>Site Selection - Reuse Existing Buildings</v>
      </c>
      <c r="D21" s="366" t="str">
        <f>IF(OR('HPBr Checklist'!C17="Yes",'HPBr Checklist'!C17=""),'HPBr Checklist'!E17,"N/A")</f>
        <v>Priority 2</v>
      </c>
      <c r="E21" s="367" t="str">
        <f>IF(A21=0,"N/A",'HPBr Checklist'!W17)</f>
        <v>N/A</v>
      </c>
    </row>
    <row r="22" spans="1:7" s="368" customFormat="1" ht="27.95" customHeight="1" x14ac:dyDescent="0.2">
      <c r="A22" s="363">
        <f>'HPBr Checklist'!$R18</f>
        <v>0</v>
      </c>
      <c r="B22" s="364" t="str">
        <f>'HPBr Checklist'!B18</f>
        <v>LM1.2</v>
      </c>
      <c r="C22" s="365" t="str">
        <f>'HPBr Checklist'!D18</f>
        <v>Site Selection -  Show preference for building on developed sites: Preserve farmland/habitat, wetlands, floodplains, public parkland</v>
      </c>
      <c r="D22" s="366" t="str">
        <f>IF(OR('HPBr Checklist'!C18="Yes",'HPBr Checklist'!C18=""),'HPBr Checklist'!E18,"N/A")</f>
        <v>Priority 1</v>
      </c>
      <c r="E22" s="367" t="str">
        <f>IF(A22=0,"N/A",'HPBr Checklist'!W18)</f>
        <v>N/A</v>
      </c>
    </row>
    <row r="23" spans="1:7" s="368" customFormat="1" ht="27.95" customHeight="1" x14ac:dyDescent="0.2">
      <c r="A23" s="363">
        <f>'HPBr Checklist'!$R19</f>
        <v>0</v>
      </c>
      <c r="B23" s="364" t="str">
        <f>'HPBr Checklist'!B19</f>
        <v>LM1.3</v>
      </c>
      <c r="C23" s="365" t="str">
        <f>'HPBr Checklist'!D19</f>
        <v>Site Selection - Brownfield Redevelopment -  Remediate and Restore contaminated sites when possible</v>
      </c>
      <c r="D23" s="366" t="str">
        <f>IF(OR('HPBr Checklist'!C19="Yes",'HPBr Checklist'!C19=""),'HPBr Checklist'!E19,"N/A")</f>
        <v>Priority 2</v>
      </c>
      <c r="E23" s="367" t="str">
        <f>IF(A23=0,"N/A",'HPBr Checklist'!W19)</f>
        <v>N/A</v>
      </c>
    </row>
    <row r="24" spans="1:7" s="368" customFormat="1" ht="27.95" customHeight="1" x14ac:dyDescent="0.2">
      <c r="A24" s="363">
        <f>'HPBr Checklist'!$R20</f>
        <v>0</v>
      </c>
      <c r="B24" s="364" t="str">
        <f>'HPBr Checklist'!B20</f>
        <v>LM1.4</v>
      </c>
      <c r="C24" s="365" t="str">
        <f>'HPBr Checklist'!D20</f>
        <v>Site Selection - Urban Development - Locate building within existing infrastructure</v>
      </c>
      <c r="D24" s="366" t="str">
        <f>IF(OR('HPBr Checklist'!C20="Yes",'HPBr Checklist'!C20=""),'HPBr Checklist'!E20,"N/A")</f>
        <v>Priority 1</v>
      </c>
      <c r="E24" s="367" t="str">
        <f>IF(A24=0,"N/A",'HPBr Checklist'!W20)</f>
        <v>N/A</v>
      </c>
    </row>
    <row r="25" spans="1:7" s="368" customFormat="1" ht="27.95" customHeight="1" x14ac:dyDescent="0.2">
      <c r="A25" s="363">
        <f>'HPBr Checklist'!$R21</f>
        <v>0</v>
      </c>
      <c r="B25" s="364" t="str">
        <f>'HPBr Checklist'!B21</f>
        <v>LM2.1</v>
      </c>
      <c r="C25" s="365" t="str">
        <f>'HPBr Checklist'!D21</f>
        <v>Site Disturbance - Sediment and Erosion control during construction</v>
      </c>
      <c r="D25" s="366" t="str">
        <f>IF(OR('HPBr Checklist'!C21="Yes",'HPBr Checklist'!C21=""),'HPBr Checklist'!E21,"N/A")</f>
        <v>Required</v>
      </c>
      <c r="E25" s="367" t="str">
        <f>IF(A25=0,"N/A",'HPBr Checklist'!W21)</f>
        <v>N/A</v>
      </c>
    </row>
    <row r="26" spans="1:7" s="368" customFormat="1" ht="27.95" customHeight="1" x14ac:dyDescent="0.2">
      <c r="A26" s="363">
        <f>'HPBr Checklist'!$R22</f>
        <v>0</v>
      </c>
      <c r="B26" s="364" t="str">
        <f>'HPBr Checklist'!B22</f>
        <v>LM2.2</v>
      </c>
      <c r="C26" s="365" t="str">
        <f>'HPBr Checklist'!D22</f>
        <v>Site Disturbance - Limit site disturbance during construction to minimum development footprint</v>
      </c>
      <c r="D26" s="366" t="str">
        <f>IF(OR('HPBr Checklist'!C22="Yes",'HPBr Checklist'!C22=""),'HPBr Checklist'!E22,"N/A")</f>
        <v>Priority 1</v>
      </c>
      <c r="E26" s="367" t="str">
        <f>IF(A26=0,"N/A",'HPBr Checklist'!W22)</f>
        <v>N/A</v>
      </c>
    </row>
    <row r="27" spans="1:7" s="368" customFormat="1" ht="27.95" customHeight="1" x14ac:dyDescent="0.2">
      <c r="A27" s="363">
        <f>'HPBr Checklist'!$R23</f>
        <v>0</v>
      </c>
      <c r="B27" s="364" t="str">
        <f>'HPBr Checklist'!B23</f>
        <v>LM3.1</v>
      </c>
      <c r="C27" s="365" t="str">
        <f>'HPBr Checklist'!D23</f>
        <v>Transportation - Plan for access to public transportation</v>
      </c>
      <c r="D27" s="366" t="str">
        <f>IF(OR('HPBr Checklist'!C23="Yes",'HPBr Checklist'!C23=""),'HPBr Checklist'!E23,"N/A")</f>
        <v>Priority 2</v>
      </c>
      <c r="E27" s="367" t="str">
        <f>IF(A27=0,"N/A",'HPBr Checklist'!W23)</f>
        <v>N/A</v>
      </c>
    </row>
    <row r="28" spans="1:7" s="368" customFormat="1" ht="27.95" customHeight="1" x14ac:dyDescent="0.2">
      <c r="A28" s="363">
        <f>'HPBr Checklist'!$R24</f>
        <v>0</v>
      </c>
      <c r="B28" s="364" t="str">
        <f>'HPBr Checklist'!B24</f>
        <v>LM3.2</v>
      </c>
      <c r="C28" s="365" t="str">
        <f>'HPBr Checklist'!D24</f>
        <v>Transportation  - Provide bicycle storage for 5% of building occupants and shower/changing facilities for 0.5% of FTE occupants</v>
      </c>
      <c r="D28" s="366" t="str">
        <f>IF(OR('HPBr Checklist'!C24="Yes",'HPBr Checklist'!C24=""),'HPBr Checklist'!E24,"N/A")</f>
        <v>Priority 2</v>
      </c>
      <c r="E28" s="367" t="str">
        <f>IF(A28=0,"N/A",'HPBr Checklist'!W24)</f>
        <v>N/A</v>
      </c>
    </row>
    <row r="29" spans="1:7" s="368" customFormat="1" ht="27.95" customHeight="1" x14ac:dyDescent="0.2">
      <c r="A29" s="363">
        <f>'HPBr Checklist'!$R25</f>
        <v>0</v>
      </c>
      <c r="B29" s="364" t="str">
        <f>'HPBr Checklist'!B25</f>
        <v>LM3.3</v>
      </c>
      <c r="C29" s="365" t="str">
        <f>'HPBr Checklist'!D25</f>
        <v>Transportation - Plan site  to include preferred parking for carpooling for 5% of all spaces provided</v>
      </c>
      <c r="D29" s="366" t="str">
        <f>IF(OR('HPBr Checklist'!C25="Yes",'HPBr Checklist'!C25=""),'HPBr Checklist'!E25,"N/A")</f>
        <v>Priority 2</v>
      </c>
      <c r="E29" s="367" t="str">
        <f>IF(A29=0,"N/A",'HPBr Checklist'!W25)</f>
        <v>N/A</v>
      </c>
    </row>
    <row r="30" spans="1:7" s="368" customFormat="1" ht="27.95" customHeight="1" x14ac:dyDescent="0.2">
      <c r="A30" s="363">
        <f>'HPBr Checklist'!$R26</f>
        <v>0</v>
      </c>
      <c r="B30" s="364" t="str">
        <f>'HPBr Checklist'!B26</f>
        <v>LM3.4</v>
      </c>
      <c r="C30" s="365" t="str">
        <f>'HPBr Checklist'!D26</f>
        <v>Transportation - Plan site  to include preferred parking for low-emitting/fuel efficient vehicles for 5% of all spaces provided</v>
      </c>
      <c r="D30" s="366" t="str">
        <f>IF(OR('HPBr Checklist'!C26="Yes",'HPBr Checklist'!C26=""),'HPBr Checklist'!E26,"N/A")</f>
        <v>Priority 2</v>
      </c>
      <c r="E30" s="367" t="str">
        <f>IF(A30=0,"N/A",'HPBr Checklist'!W26)</f>
        <v>N/A</v>
      </c>
    </row>
    <row r="31" spans="1:7" s="368" customFormat="1" ht="27.95" customHeight="1" x14ac:dyDescent="0.2">
      <c r="A31" s="363">
        <f>'HPBr Checklist'!$R27</f>
        <v>0</v>
      </c>
      <c r="B31" s="364" t="str">
        <f>'HPBr Checklist'!B27</f>
        <v>LM4.1</v>
      </c>
      <c r="C31" s="365" t="str">
        <f>'HPBr Checklist'!D27</f>
        <v>Landscape Design - Maximize vegetated open space</v>
      </c>
      <c r="D31" s="366" t="str">
        <f>IF(OR('HPBr Checklist'!C27="Yes",'HPBr Checklist'!C27=""),'HPBr Checklist'!E27,"N/A")</f>
        <v>Priority 2</v>
      </c>
      <c r="E31" s="367" t="str">
        <f>IF(A31=0,"N/A",'HPBr Checklist'!W27)</f>
        <v>N/A</v>
      </c>
    </row>
    <row r="32" spans="1:7" s="368" customFormat="1" ht="27.95" customHeight="1" x14ac:dyDescent="0.2">
      <c r="A32" s="363">
        <f>'HPBr Checklist'!$R28</f>
        <v>0</v>
      </c>
      <c r="B32" s="364" t="str">
        <f>'HPBr Checklist'!B28</f>
        <v>LM4.2</v>
      </c>
      <c r="C32" s="365" t="str">
        <f>'HPBr Checklist'!D28</f>
        <v>Landscape Design - Native and drought tolerant planting</v>
      </c>
      <c r="D32" s="366" t="str">
        <f>IF(OR('HPBr Checklist'!C28="Yes",'HPBr Checklist'!C28=""),'HPBr Checklist'!E28,"N/A")</f>
        <v>Required</v>
      </c>
      <c r="E32" s="367" t="str">
        <f>IF(A32=0,"N/A",'HPBr Checklist'!W28)</f>
        <v>N/A</v>
      </c>
    </row>
    <row r="33" spans="1:243" s="368" customFormat="1" ht="27.95" customHeight="1" x14ac:dyDescent="0.2">
      <c r="A33" s="363">
        <f>'HPBr Checklist'!$R29</f>
        <v>0</v>
      </c>
      <c r="B33" s="364" t="str">
        <f>'HPBr Checklist'!B29</f>
        <v>LM5.1</v>
      </c>
      <c r="C33" s="365" t="str">
        <f>'HPBr Checklist'!D29</f>
        <v>Heat Island Reduction - Non roof surface reflectivity and shading</v>
      </c>
      <c r="D33" s="366" t="str">
        <f>IF(OR('HPBr Checklist'!C29="Yes",'HPBr Checklist'!C29=""),'HPBr Checklist'!E29,"N/A")</f>
        <v>Priority 1</v>
      </c>
      <c r="E33" s="367" t="str">
        <f>IF(A33=0,"N/A",'HPBr Checklist'!W29)</f>
        <v>N/A</v>
      </c>
    </row>
    <row r="34" spans="1:243" s="368" customFormat="1" ht="27.95" customHeight="1" x14ac:dyDescent="0.2">
      <c r="A34" s="363">
        <f>'HPBr Checklist'!$R30</f>
        <v>0</v>
      </c>
      <c r="B34" s="364" t="str">
        <f>'HPBr Checklist'!B30</f>
        <v>LM5.2</v>
      </c>
      <c r="C34" s="365" t="str">
        <f>'HPBr Checklist'!D30</f>
        <v>Heat Island Reduction - Reflective roof materials</v>
      </c>
      <c r="D34" s="366" t="str">
        <f>IF(OR('HPBr Checklist'!C30="Yes",'HPBr Checklist'!C30=""),'HPBr Checklist'!E30,"N/A")</f>
        <v>Priority 2</v>
      </c>
      <c r="E34" s="367" t="str">
        <f>IF(A34=0,"N/A",'HPBr Checklist'!W30)</f>
        <v>N/A</v>
      </c>
    </row>
    <row r="35" spans="1:243" s="368" customFormat="1" ht="27.95" customHeight="1" x14ac:dyDescent="0.2">
      <c r="A35" s="363">
        <f>'HPBr Checklist'!$R31</f>
        <v>0</v>
      </c>
      <c r="B35" s="364" t="str">
        <f>'HPBr Checklist'!B31</f>
        <v>LM6.1</v>
      </c>
      <c r="C35" s="365" t="str">
        <f>'HPBr Checklist'!D31</f>
        <v>Stormwater Design - Post development discharge rate and volume not to exceed Pre-development rate</v>
      </c>
      <c r="D35" s="366" t="str">
        <f>IF(OR('HPBr Checklist'!C31="Yes",'HPBr Checklist'!C31=""),'HPBr Checklist'!E31,"N/A")</f>
        <v>Priority 1</v>
      </c>
      <c r="E35" s="367" t="str">
        <f>IF(A35=0,"N/A",'HPBr Checklist'!W31)</f>
        <v>N/A</v>
      </c>
    </row>
    <row r="36" spans="1:243" s="368" customFormat="1" ht="27.95" customHeight="1" x14ac:dyDescent="0.2">
      <c r="A36" s="363">
        <f>'HPBr Checklist'!$R32</f>
        <v>0</v>
      </c>
      <c r="B36" s="364" t="str">
        <f>'HPBr Checklist'!B32</f>
        <v>LM6.2</v>
      </c>
      <c r="C36" s="365" t="str">
        <f>'HPBr Checklist'!D32</f>
        <v>Stormwater Design - Reduce discharge rate and volume 25% on previously developed sites.</v>
      </c>
      <c r="D36" s="366" t="str">
        <f>IF(OR('HPBr Checklist'!C32="Yes",'HPBr Checklist'!C32=""),'HPBr Checklist'!E32,"N/A")</f>
        <v>N/A</v>
      </c>
      <c r="E36" s="367" t="str">
        <f>IF(A36=0,"N/A",'HPBr Checklist'!W32)</f>
        <v>N/A</v>
      </c>
    </row>
    <row r="37" spans="1:243" s="368" customFormat="1" ht="27.95" customHeight="1" x14ac:dyDescent="0.2">
      <c r="A37" s="363">
        <f>'HPBr Checklist'!$R33</f>
        <v>0</v>
      </c>
      <c r="B37" s="364" t="str">
        <f>'HPBr Checklist'!B33</f>
        <v>LM6.3</v>
      </c>
      <c r="C37" s="365" t="str">
        <f>'HPBr Checklist'!D33</f>
        <v>Stormwater Design - Design to remove 80% Total Suspended solids from the average annual rainfall event.  Verify local requirements.</v>
      </c>
      <c r="D37" s="366" t="str">
        <f>IF(OR('HPBr Checklist'!C33="Yes",'HPBr Checklist'!C33=""),'HPBr Checklist'!E33,"N/A")</f>
        <v>Priority 1</v>
      </c>
      <c r="E37" s="367" t="str">
        <f>IF(A37=0,"N/A",'HPBr Checklist'!W33)</f>
        <v>N/A</v>
      </c>
    </row>
    <row r="38" spans="1:243" s="368" customFormat="1" ht="27.95" customHeight="1" x14ac:dyDescent="0.2">
      <c r="A38" s="363">
        <f>'HPBr Checklist'!$R34</f>
        <v>0</v>
      </c>
      <c r="B38" s="364" t="str">
        <f>'HPBr Checklist'!B34</f>
        <v>LM6.4</v>
      </c>
      <c r="C38" s="365" t="str">
        <f>'HPBr Checklist'!D34</f>
        <v>Stormwater Design - Design per TDEC BMP References</v>
      </c>
      <c r="D38" s="366" t="str">
        <f>IF(OR('HPBr Checklist'!C34="Yes",'HPBr Checklist'!C34=""),'HPBr Checklist'!E34,"N/A")</f>
        <v>Required</v>
      </c>
      <c r="E38" s="367" t="str">
        <f>IF(A38=0,"N/A",'HPBr Checklist'!W34)</f>
        <v>N/A</v>
      </c>
    </row>
    <row r="39" spans="1:243" s="368" customFormat="1" ht="27.95" customHeight="1" x14ac:dyDescent="0.2">
      <c r="A39" s="363">
        <f>'HPBr Checklist'!$R35</f>
        <v>0</v>
      </c>
      <c r="B39" s="364" t="str">
        <f>'HPBr Checklist'!B35</f>
        <v>LM7.1</v>
      </c>
      <c r="C39" s="365" t="str">
        <f>'HPBr Checklist'!D35</f>
        <v>Exterior Site Lighting - Design exterior lighting power to be 10% less than is allowed by ASHRAE 90.1-2010, Section 9.4.3</v>
      </c>
      <c r="D39" s="366" t="str">
        <f>IF(OR('HPBr Checklist'!C35="Yes",'HPBr Checklist'!C35=""),'HPBr Checklist'!E35,"N/A")</f>
        <v>Priority 2</v>
      </c>
      <c r="E39" s="367" t="str">
        <f>IF(A39=0,"N/A",'HPBr Checklist'!W35)</f>
        <v>N/A</v>
      </c>
    </row>
    <row r="40" spans="1:243" s="368" customFormat="1" ht="27.95" customHeight="1" x14ac:dyDescent="0.2">
      <c r="A40" s="363">
        <f>'HPBr Checklist'!$R36</f>
        <v>0</v>
      </c>
      <c r="B40" s="364" t="str">
        <f>'HPBr Checklist'!B36</f>
        <v>LM7.2</v>
      </c>
      <c r="C40" s="365" t="str">
        <f>'HPBr Checklist'!D36</f>
        <v>Exterior Site Lighting - Locate fixtures to minimize illuminance above the horizontal plane</v>
      </c>
      <c r="D40" s="366" t="str">
        <f>IF(OR('HPBr Checklist'!C36="Yes",'HPBr Checklist'!C36=""),'HPBr Checklist'!E36,"N/A")</f>
        <v>Priority 1</v>
      </c>
      <c r="E40" s="367" t="str">
        <f>IF(A40=0,"N/A",'HPBr Checklist'!W36)</f>
        <v>N/A</v>
      </c>
    </row>
    <row r="41" spans="1:243" s="368" customFormat="1" ht="27.95" customHeight="1" x14ac:dyDescent="0.2">
      <c r="A41" s="363">
        <f>'HPBr Checklist'!$R37</f>
        <v>0</v>
      </c>
      <c r="B41" s="364" t="str">
        <f>'HPBr Checklist'!B37</f>
        <v>LM7.3</v>
      </c>
      <c r="C41" s="365" t="str">
        <f>'HPBr Checklist'!D37</f>
        <v>Exterior Site Lighting - Locate exterior fixtures to minimize light trespass at property lines.  Document foot-candle levels at site boundary</v>
      </c>
      <c r="D41" s="366" t="str">
        <f>IF(OR('HPBr Checklist'!C37="Yes",'HPBr Checklist'!C37=""),'HPBr Checklist'!E37,"N/A")</f>
        <v>Priority 1</v>
      </c>
      <c r="E41" s="367" t="str">
        <f>IF(A41=0,"N/A",'HPBr Checklist'!W37)</f>
        <v>N/A</v>
      </c>
    </row>
    <row r="42" spans="1:243" ht="39.950000000000003" customHeight="1" x14ac:dyDescent="0.2">
      <c r="A42" s="369">
        <f>SUM(A44:A49)</f>
        <v>0</v>
      </c>
      <c r="B42" s="370"/>
      <c r="C42" s="371" t="s">
        <v>137</v>
      </c>
      <c r="D42" s="372"/>
      <c r="E42" s="373"/>
    </row>
    <row r="43" spans="1:243" s="384" customFormat="1" ht="31.5" x14ac:dyDescent="0.2">
      <c r="A43" s="358" t="s">
        <v>138</v>
      </c>
      <c r="B43" s="359" t="s">
        <v>139</v>
      </c>
      <c r="C43" s="360" t="s">
        <v>3</v>
      </c>
      <c r="D43" s="360" t="s">
        <v>120</v>
      </c>
      <c r="E43" s="361" t="s">
        <v>787</v>
      </c>
      <c r="F43" s="362"/>
      <c r="G43" s="374"/>
      <c r="H43" s="375"/>
      <c r="I43" s="376"/>
      <c r="J43" s="374"/>
      <c r="K43" s="374"/>
      <c r="L43" s="377"/>
      <c r="M43" s="378"/>
      <c r="N43" s="379"/>
      <c r="O43" s="380"/>
      <c r="P43" s="379"/>
      <c r="Q43" s="381"/>
      <c r="R43" s="382"/>
      <c r="S43" s="379"/>
      <c r="T43" s="380"/>
      <c r="U43" s="379"/>
      <c r="V43" s="383"/>
      <c r="W43" s="374"/>
      <c r="X43" s="375"/>
      <c r="Y43" s="376"/>
      <c r="Z43" s="374"/>
      <c r="AA43" s="374"/>
      <c r="AB43" s="377"/>
      <c r="AC43" s="378"/>
      <c r="AD43" s="379"/>
      <c r="AE43" s="380"/>
      <c r="AF43" s="379"/>
      <c r="AG43" s="381"/>
      <c r="AH43" s="382"/>
      <c r="AI43" s="379"/>
      <c r="AJ43" s="380"/>
      <c r="AK43" s="379"/>
      <c r="AL43" s="383"/>
      <c r="AM43" s="374"/>
      <c r="AN43" s="375"/>
      <c r="AO43" s="376"/>
      <c r="AP43" s="374"/>
      <c r="AQ43" s="374"/>
      <c r="AR43" s="377"/>
      <c r="AS43" s="378"/>
      <c r="AT43" s="379"/>
      <c r="AU43" s="380"/>
      <c r="AV43" s="379"/>
      <c r="AW43" s="381"/>
      <c r="AX43" s="382"/>
      <c r="AY43" s="379"/>
      <c r="AZ43" s="380"/>
      <c r="BA43" s="379"/>
      <c r="BB43" s="383"/>
      <c r="BC43" s="374"/>
      <c r="BD43" s="375"/>
      <c r="BE43" s="376"/>
      <c r="BF43" s="374"/>
      <c r="BG43" s="374"/>
      <c r="BH43" s="377"/>
      <c r="BI43" s="378"/>
      <c r="BJ43" s="379"/>
      <c r="BK43" s="380"/>
      <c r="BL43" s="379"/>
      <c r="BM43" s="381"/>
      <c r="BN43" s="382"/>
      <c r="BO43" s="379"/>
      <c r="BP43" s="380"/>
      <c r="BQ43" s="379"/>
      <c r="BR43" s="383"/>
      <c r="BS43" s="374"/>
      <c r="BT43" s="375"/>
      <c r="BU43" s="376"/>
      <c r="BV43" s="374"/>
      <c r="BW43" s="374"/>
      <c r="BX43" s="377"/>
      <c r="BY43" s="378"/>
      <c r="BZ43" s="379"/>
      <c r="CA43" s="380"/>
      <c r="CB43" s="379"/>
      <c r="CC43" s="381"/>
      <c r="CD43" s="382"/>
      <c r="CE43" s="379"/>
      <c r="CF43" s="380"/>
      <c r="CG43" s="379"/>
      <c r="CH43" s="383"/>
      <c r="CI43" s="374"/>
      <c r="CJ43" s="375"/>
      <c r="CK43" s="376"/>
      <c r="CL43" s="374"/>
      <c r="CM43" s="374"/>
      <c r="CN43" s="377"/>
      <c r="CO43" s="378"/>
      <c r="CP43" s="379"/>
      <c r="CQ43" s="380"/>
      <c r="CR43" s="379"/>
      <c r="CS43" s="381"/>
      <c r="CT43" s="382"/>
      <c r="CU43" s="379"/>
      <c r="CV43" s="380"/>
      <c r="CW43" s="379"/>
      <c r="CX43" s="383"/>
      <c r="CY43" s="374"/>
      <c r="CZ43" s="375"/>
      <c r="DA43" s="376"/>
      <c r="DB43" s="374"/>
      <c r="DC43" s="374"/>
      <c r="DD43" s="377"/>
      <c r="DE43" s="378"/>
      <c r="DF43" s="379"/>
      <c r="DG43" s="380"/>
      <c r="DH43" s="379"/>
      <c r="DI43" s="381"/>
      <c r="DJ43" s="382"/>
      <c r="DK43" s="379"/>
      <c r="DL43" s="380"/>
      <c r="DM43" s="379"/>
      <c r="DN43" s="383"/>
      <c r="DO43" s="374"/>
      <c r="DP43" s="375"/>
      <c r="DQ43" s="376"/>
      <c r="DR43" s="374"/>
      <c r="DS43" s="374"/>
      <c r="DT43" s="377"/>
      <c r="DU43" s="378"/>
      <c r="DV43" s="379"/>
      <c r="DW43" s="380"/>
      <c r="DX43" s="379"/>
      <c r="DY43" s="381"/>
      <c r="DZ43" s="382"/>
      <c r="EA43" s="379"/>
      <c r="EB43" s="380"/>
      <c r="EC43" s="379"/>
      <c r="ED43" s="383"/>
      <c r="EE43" s="374"/>
      <c r="EF43" s="375"/>
      <c r="EG43" s="376"/>
      <c r="EH43" s="374"/>
      <c r="EI43" s="374"/>
      <c r="EJ43" s="377"/>
      <c r="EK43" s="378"/>
      <c r="EL43" s="379"/>
      <c r="EM43" s="380"/>
      <c r="EN43" s="379"/>
      <c r="EO43" s="381"/>
      <c r="EP43" s="382"/>
      <c r="EQ43" s="379"/>
      <c r="ER43" s="380"/>
      <c r="ES43" s="379"/>
      <c r="ET43" s="383"/>
      <c r="EU43" s="374"/>
      <c r="EV43" s="375"/>
      <c r="EW43" s="376"/>
      <c r="EX43" s="374"/>
      <c r="EY43" s="374"/>
      <c r="EZ43" s="377"/>
      <c r="FA43" s="378"/>
      <c r="FB43" s="379"/>
      <c r="FC43" s="380"/>
      <c r="FD43" s="379"/>
      <c r="FE43" s="381"/>
      <c r="FF43" s="382"/>
      <c r="FG43" s="379"/>
      <c r="FH43" s="380"/>
      <c r="FI43" s="379"/>
      <c r="FJ43" s="383"/>
      <c r="FK43" s="374"/>
      <c r="FL43" s="375"/>
      <c r="FM43" s="376"/>
      <c r="FN43" s="374"/>
      <c r="FO43" s="374"/>
      <c r="FP43" s="377"/>
      <c r="FQ43" s="378"/>
      <c r="FR43" s="379"/>
      <c r="FS43" s="380"/>
      <c r="FT43" s="379"/>
      <c r="FU43" s="381"/>
      <c r="FV43" s="382"/>
      <c r="FW43" s="379"/>
      <c r="FX43" s="380"/>
      <c r="FY43" s="379"/>
      <c r="FZ43" s="383"/>
      <c r="GA43" s="374"/>
      <c r="GB43" s="375"/>
      <c r="GC43" s="376"/>
      <c r="GD43" s="374"/>
      <c r="GE43" s="374"/>
      <c r="GF43" s="377"/>
      <c r="GG43" s="378"/>
      <c r="GH43" s="379"/>
      <c r="GI43" s="380"/>
      <c r="GJ43" s="379"/>
      <c r="GK43" s="381"/>
      <c r="GL43" s="382"/>
      <c r="GM43" s="379"/>
      <c r="GN43" s="380"/>
      <c r="GO43" s="379"/>
      <c r="GP43" s="383"/>
      <c r="GQ43" s="374"/>
      <c r="GR43" s="375"/>
      <c r="GS43" s="376"/>
      <c r="GT43" s="374"/>
      <c r="GU43" s="374"/>
      <c r="GV43" s="377"/>
      <c r="GW43" s="378"/>
      <c r="GX43" s="379"/>
      <c r="GY43" s="380"/>
      <c r="GZ43" s="379"/>
      <c r="HA43" s="381"/>
      <c r="HB43" s="382"/>
      <c r="HC43" s="379"/>
      <c r="HD43" s="380"/>
      <c r="HE43" s="379"/>
      <c r="HF43" s="383"/>
      <c r="HG43" s="374"/>
      <c r="HH43" s="375"/>
      <c r="HI43" s="376"/>
      <c r="HJ43" s="374"/>
      <c r="HK43" s="374"/>
      <c r="HL43" s="377"/>
      <c r="HM43" s="378"/>
      <c r="HN43" s="379"/>
      <c r="HO43" s="380"/>
      <c r="HP43" s="379"/>
      <c r="HQ43" s="381"/>
      <c r="HR43" s="382"/>
      <c r="HS43" s="379"/>
      <c r="HT43" s="380"/>
      <c r="HU43" s="379"/>
      <c r="HV43" s="383"/>
      <c r="HW43" s="374"/>
      <c r="HX43" s="375"/>
      <c r="HY43" s="376"/>
      <c r="HZ43" s="374"/>
      <c r="IA43" s="374"/>
      <c r="IB43" s="377"/>
      <c r="IC43" s="378"/>
      <c r="ID43" s="379"/>
      <c r="IE43" s="380"/>
      <c r="IF43" s="379"/>
      <c r="IG43" s="381"/>
      <c r="IH43" s="382"/>
      <c r="II43" s="379"/>
    </row>
    <row r="44" spans="1:243" s="368" customFormat="1" ht="27.95" customHeight="1" x14ac:dyDescent="0.2">
      <c r="A44" s="363">
        <f>'HPBr Checklist'!$R40</f>
        <v>0</v>
      </c>
      <c r="B44" s="364" t="str">
        <f>'HPBr Checklist'!B40</f>
        <v>WE1.1</v>
      </c>
      <c r="C44" s="365" t="str">
        <f>'HPBr Checklist'!D40</f>
        <v>Water Efficient Landscaping, Utilize efficient irrigation technologies and planting measures</v>
      </c>
      <c r="D44" s="366" t="str">
        <f>IF(OR('HPBr Checklist'!C40="Yes",'HPBr Checklist'!C40=""),'HPBr Checklist'!E40,"N/A")</f>
        <v>Required</v>
      </c>
      <c r="E44" s="367" t="str">
        <f>IF(A44=0,"N/A",'HPBr Checklist'!W40)</f>
        <v>N/A</v>
      </c>
    </row>
    <row r="45" spans="1:243" s="368" customFormat="1" ht="27.95" customHeight="1" x14ac:dyDescent="0.2">
      <c r="A45" s="363">
        <f>'HPBr Checklist'!$R41</f>
        <v>0</v>
      </c>
      <c r="B45" s="364" t="str">
        <f>'HPBr Checklist'!B41</f>
        <v>WE.1.2</v>
      </c>
      <c r="C45" s="365" t="str">
        <f>'HPBr Checklist'!D41</f>
        <v>Water Efficient Landscaping, Non potable sources or no irrigation</v>
      </c>
      <c r="D45" s="366" t="str">
        <f>IF(OR('HPBr Checklist'!C41="Yes",'HPBr Checklist'!C41=""),'HPBr Checklist'!E41,"N/A")</f>
        <v>Priority 1</v>
      </c>
      <c r="E45" s="367" t="str">
        <f>IF(A45=0,"N/A",'HPBr Checklist'!W41)</f>
        <v>N/A</v>
      </c>
    </row>
    <row r="46" spans="1:243" s="368" customFormat="1" ht="27.95" customHeight="1" x14ac:dyDescent="0.2">
      <c r="A46" s="363">
        <f>'HPBr Checklist'!$R42</f>
        <v>0</v>
      </c>
      <c r="B46" s="364" t="str">
        <f>'HPBr Checklist'!B42</f>
        <v>WE2.1</v>
      </c>
      <c r="C46" s="365" t="str">
        <f>'HPBr Checklist'!D42</f>
        <v>Wastewater Treatment &amp; Conveyance: On site treatment</v>
      </c>
      <c r="D46" s="366" t="str">
        <f>IF(OR('HPBr Checklist'!C42="Yes",'HPBr Checklist'!C42=""),'HPBr Checklist'!E42,"N/A")</f>
        <v>Priority 2</v>
      </c>
      <c r="E46" s="367" t="str">
        <f>IF(A46=0,"N/A",'HPBr Checklist'!W42)</f>
        <v>N/A</v>
      </c>
    </row>
    <row r="47" spans="1:243" s="368" customFormat="1" ht="27.95" customHeight="1" x14ac:dyDescent="0.2">
      <c r="A47" s="363">
        <f>'HPBr Checklist'!$R43</f>
        <v>0</v>
      </c>
      <c r="B47" s="364" t="str">
        <f>'HPBr Checklist'!B43</f>
        <v>WE2.2</v>
      </c>
      <c r="C47" s="365" t="str">
        <f>'HPBr Checklist'!D43</f>
        <v>Wastewater Treatment &amp; Conveyance: Utilize non potable water</v>
      </c>
      <c r="D47" s="366" t="str">
        <f>IF(OR('HPBr Checklist'!C43="Yes",'HPBr Checklist'!C43=""),'HPBr Checklist'!E43,"N/A")</f>
        <v>Priority 2</v>
      </c>
      <c r="E47" s="367" t="str">
        <f>IF(A47=0,"N/A",'HPBr Checklist'!W43)</f>
        <v>N/A</v>
      </c>
    </row>
    <row r="48" spans="1:243" s="368" customFormat="1" ht="27.95" customHeight="1" x14ac:dyDescent="0.2">
      <c r="A48" s="363">
        <f>'HPBr Checklist'!$R44</f>
        <v>0</v>
      </c>
      <c r="B48" s="364" t="str">
        <f>'HPBr Checklist'!B44</f>
        <v>WE3.1</v>
      </c>
      <c r="C48" s="365" t="str">
        <f>'HPBr Checklist'!D44</f>
        <v>Water Use Reduction - Fixture flow and flush rates</v>
      </c>
      <c r="D48" s="366" t="str">
        <f>IF(OR('HPBr Checklist'!C44="Yes",'HPBr Checklist'!C44=""),'HPBr Checklist'!E44,"N/A")</f>
        <v>Required</v>
      </c>
      <c r="E48" s="367" t="str">
        <f>IF(A48=0,"N/A",'HPBr Checklist'!W44)</f>
        <v>N/A</v>
      </c>
    </row>
    <row r="49" spans="1:243" s="368" customFormat="1" ht="27.95" customHeight="1" x14ac:dyDescent="0.2">
      <c r="A49" s="363">
        <f>'HPBr Checklist'!$R45</f>
        <v>0</v>
      </c>
      <c r="B49" s="364" t="str">
        <f>'HPBr Checklist'!B45</f>
        <v>WE3.2</v>
      </c>
      <c r="C49" s="365" t="str">
        <f>'HPBr Checklist'!D45</f>
        <v>Water Use Reduction - Utilize auto-flow / auto-flush valves</v>
      </c>
      <c r="D49" s="366" t="str">
        <f>IF(OR('HPBr Checklist'!C45="Yes",'HPBr Checklist'!C45=""),'HPBr Checklist'!E45,"N/A")</f>
        <v>Priority 2</v>
      </c>
      <c r="E49" s="367" t="str">
        <f>IF(A49=0,"N/A",'HPBr Checklist'!W45)</f>
        <v>N/A</v>
      </c>
    </row>
    <row r="50" spans="1:243" ht="39.950000000000003" customHeight="1" x14ac:dyDescent="0.2">
      <c r="A50" s="385">
        <f>SUM(A52:A68)</f>
        <v>0</v>
      </c>
      <c r="B50" s="386"/>
      <c r="C50" s="387" t="s">
        <v>320</v>
      </c>
      <c r="D50" s="388"/>
      <c r="E50" s="389"/>
    </row>
    <row r="51" spans="1:243" ht="31.5" x14ac:dyDescent="0.2">
      <c r="A51" s="358" t="s">
        <v>138</v>
      </c>
      <c r="B51" s="359" t="s">
        <v>139</v>
      </c>
      <c r="C51" s="360" t="s">
        <v>3</v>
      </c>
      <c r="D51" s="360" t="s">
        <v>120</v>
      </c>
      <c r="E51" s="361" t="s">
        <v>787</v>
      </c>
      <c r="F51" s="362"/>
      <c r="G51" s="374"/>
      <c r="H51" s="375"/>
      <c r="I51" s="376"/>
      <c r="J51" s="374"/>
      <c r="K51" s="374"/>
      <c r="L51" s="377"/>
      <c r="M51" s="378"/>
      <c r="N51" s="379"/>
      <c r="O51" s="380"/>
      <c r="P51" s="379"/>
      <c r="Q51" s="381"/>
      <c r="R51" s="382"/>
      <c r="S51" s="379"/>
      <c r="T51" s="380"/>
      <c r="U51" s="379"/>
      <c r="V51" s="383"/>
      <c r="W51" s="374"/>
      <c r="X51" s="375"/>
      <c r="Y51" s="376"/>
      <c r="Z51" s="374"/>
      <c r="AA51" s="374"/>
      <c r="AB51" s="377"/>
      <c r="AC51" s="378"/>
      <c r="AD51" s="379"/>
      <c r="AE51" s="380"/>
      <c r="AF51" s="379"/>
      <c r="AG51" s="381"/>
      <c r="AH51" s="382"/>
      <c r="AI51" s="379"/>
      <c r="AJ51" s="380"/>
      <c r="AK51" s="379"/>
      <c r="AL51" s="383"/>
      <c r="AM51" s="374"/>
      <c r="AN51" s="375"/>
      <c r="AO51" s="376"/>
      <c r="AP51" s="374"/>
      <c r="AQ51" s="374"/>
      <c r="AR51" s="377"/>
      <c r="AS51" s="378"/>
      <c r="AT51" s="379"/>
      <c r="AU51" s="380"/>
      <c r="AV51" s="379"/>
      <c r="AW51" s="381"/>
      <c r="AX51" s="382"/>
      <c r="AY51" s="379"/>
      <c r="AZ51" s="380"/>
      <c r="BA51" s="379"/>
      <c r="BB51" s="383"/>
      <c r="BC51" s="374"/>
      <c r="BD51" s="375"/>
      <c r="BE51" s="376"/>
      <c r="BF51" s="374"/>
      <c r="BG51" s="374"/>
      <c r="BH51" s="377"/>
      <c r="BI51" s="378"/>
      <c r="BJ51" s="379"/>
      <c r="BK51" s="380"/>
      <c r="BL51" s="379"/>
      <c r="BM51" s="381"/>
      <c r="BN51" s="382"/>
      <c r="BO51" s="379"/>
      <c r="BP51" s="380"/>
      <c r="BQ51" s="379"/>
      <c r="BR51" s="383"/>
      <c r="BS51" s="374"/>
      <c r="BT51" s="375"/>
      <c r="BU51" s="376"/>
      <c r="BV51" s="374"/>
      <c r="BW51" s="374"/>
      <c r="BX51" s="377"/>
      <c r="BY51" s="378"/>
      <c r="BZ51" s="379"/>
      <c r="CA51" s="380"/>
      <c r="CB51" s="379"/>
      <c r="CC51" s="381"/>
      <c r="CD51" s="382"/>
      <c r="CE51" s="379"/>
      <c r="CF51" s="380"/>
      <c r="CG51" s="379"/>
      <c r="CH51" s="383"/>
      <c r="CI51" s="374"/>
      <c r="CJ51" s="375"/>
      <c r="CK51" s="376"/>
      <c r="CL51" s="374"/>
      <c r="CM51" s="374"/>
      <c r="CN51" s="377"/>
      <c r="CO51" s="378"/>
      <c r="CP51" s="379"/>
      <c r="CQ51" s="380"/>
      <c r="CR51" s="379"/>
      <c r="CS51" s="381"/>
      <c r="CT51" s="382"/>
      <c r="CU51" s="379"/>
      <c r="CV51" s="380"/>
      <c r="CW51" s="379"/>
      <c r="CX51" s="383"/>
      <c r="CY51" s="374"/>
      <c r="CZ51" s="375"/>
      <c r="DA51" s="376"/>
      <c r="DB51" s="374"/>
      <c r="DC51" s="374"/>
      <c r="DD51" s="377"/>
      <c r="DE51" s="378"/>
      <c r="DF51" s="379"/>
      <c r="DG51" s="380"/>
      <c r="DH51" s="379"/>
      <c r="DI51" s="381"/>
      <c r="DJ51" s="382"/>
      <c r="DK51" s="379"/>
      <c r="DL51" s="380"/>
      <c r="DM51" s="379"/>
      <c r="DN51" s="383"/>
      <c r="DO51" s="374"/>
      <c r="DP51" s="375"/>
      <c r="DQ51" s="376"/>
      <c r="DR51" s="374"/>
      <c r="DS51" s="374"/>
      <c r="DT51" s="377"/>
      <c r="DU51" s="378"/>
      <c r="DV51" s="379"/>
      <c r="DW51" s="380"/>
      <c r="DX51" s="379"/>
      <c r="DY51" s="381"/>
      <c r="DZ51" s="382"/>
      <c r="EA51" s="379"/>
      <c r="EB51" s="380"/>
      <c r="EC51" s="379"/>
      <c r="ED51" s="383"/>
      <c r="EE51" s="374"/>
      <c r="EF51" s="375"/>
      <c r="EG51" s="376"/>
      <c r="EH51" s="374"/>
      <c r="EI51" s="374"/>
      <c r="EJ51" s="377"/>
      <c r="EK51" s="378"/>
      <c r="EL51" s="379"/>
      <c r="EM51" s="380"/>
      <c r="EN51" s="379"/>
      <c r="EO51" s="381"/>
      <c r="EP51" s="382"/>
      <c r="EQ51" s="379"/>
      <c r="ER51" s="380"/>
      <c r="ES51" s="379"/>
      <c r="ET51" s="383"/>
      <c r="EU51" s="374"/>
      <c r="EV51" s="375"/>
      <c r="EW51" s="376"/>
      <c r="EX51" s="374"/>
      <c r="EY51" s="374"/>
      <c r="EZ51" s="377"/>
      <c r="FA51" s="378"/>
      <c r="FB51" s="379"/>
      <c r="FC51" s="380"/>
      <c r="FD51" s="379"/>
      <c r="FE51" s="381"/>
      <c r="FF51" s="382"/>
      <c r="FG51" s="379"/>
      <c r="FH51" s="380"/>
      <c r="FI51" s="379"/>
      <c r="FJ51" s="383"/>
      <c r="FK51" s="374"/>
      <c r="FL51" s="375"/>
      <c r="FM51" s="376"/>
      <c r="FN51" s="374"/>
      <c r="FO51" s="374"/>
      <c r="FP51" s="377"/>
      <c r="FQ51" s="378"/>
      <c r="FR51" s="379"/>
      <c r="FS51" s="380"/>
      <c r="FT51" s="379"/>
      <c r="FU51" s="381"/>
      <c r="FV51" s="382"/>
      <c r="FW51" s="379"/>
      <c r="FX51" s="380"/>
      <c r="FY51" s="379"/>
      <c r="FZ51" s="383"/>
      <c r="GA51" s="374"/>
      <c r="GB51" s="375"/>
      <c r="GC51" s="376"/>
      <c r="GD51" s="374"/>
      <c r="GE51" s="374"/>
      <c r="GF51" s="377"/>
      <c r="GG51" s="378"/>
      <c r="GH51" s="379"/>
      <c r="GI51" s="380"/>
      <c r="GJ51" s="379"/>
      <c r="GK51" s="381"/>
      <c r="GL51" s="382"/>
      <c r="GM51" s="379"/>
      <c r="GN51" s="380"/>
      <c r="GO51" s="379"/>
      <c r="GP51" s="383"/>
      <c r="GQ51" s="374"/>
      <c r="GR51" s="375"/>
      <c r="GS51" s="376"/>
      <c r="GT51" s="374"/>
      <c r="GU51" s="374"/>
      <c r="GV51" s="377"/>
      <c r="GW51" s="378"/>
      <c r="GX51" s="379"/>
      <c r="GY51" s="380"/>
      <c r="GZ51" s="379"/>
      <c r="HA51" s="381"/>
      <c r="HB51" s="382"/>
      <c r="HC51" s="379"/>
      <c r="HD51" s="380"/>
      <c r="HE51" s="379"/>
      <c r="HF51" s="383"/>
      <c r="HG51" s="374"/>
      <c r="HH51" s="375"/>
      <c r="HI51" s="376"/>
      <c r="HJ51" s="374"/>
      <c r="HK51" s="374"/>
      <c r="HL51" s="377"/>
      <c r="HM51" s="378"/>
      <c r="HN51" s="379"/>
      <c r="HO51" s="380"/>
      <c r="HP51" s="379"/>
      <c r="HQ51" s="381"/>
      <c r="HR51" s="382"/>
      <c r="HS51" s="379"/>
      <c r="HT51" s="380"/>
      <c r="HU51" s="379"/>
      <c r="HV51" s="383"/>
      <c r="HW51" s="374"/>
      <c r="HX51" s="375"/>
      <c r="HY51" s="376"/>
      <c r="HZ51" s="374"/>
      <c r="IA51" s="374"/>
      <c r="IB51" s="377"/>
      <c r="IC51" s="378"/>
      <c r="ID51" s="379"/>
      <c r="IE51" s="380"/>
      <c r="IF51" s="379"/>
      <c r="IG51" s="381"/>
      <c r="IH51" s="382"/>
      <c r="II51" s="379"/>
    </row>
    <row r="52" spans="1:243" s="368" customFormat="1" ht="27.95" customHeight="1" x14ac:dyDescent="0.2">
      <c r="A52" s="363">
        <f>'HPBr Checklist'!$R48</f>
        <v>0</v>
      </c>
      <c r="B52" s="364" t="str">
        <f>'HPBr Checklist'!B48</f>
        <v>EE1.1</v>
      </c>
      <c r="C52" s="365" t="str">
        <f>'HPBr Checklist'!D48</f>
        <v>Commissioning - Basic commissioning process</v>
      </c>
      <c r="D52" s="366" t="str">
        <f>IF(OR('HPBr Checklist'!C48="Yes",'HPBr Checklist'!C48=""),'HPBr Checklist'!E48,"N/A")</f>
        <v>Required</v>
      </c>
      <c r="E52" s="367" t="str">
        <f>IF(A52=0,"N/A",'HPBr Checklist'!W48)</f>
        <v>N/A</v>
      </c>
    </row>
    <row r="53" spans="1:243" s="368" customFormat="1" ht="27.95" customHeight="1" x14ac:dyDescent="0.2">
      <c r="A53" s="363">
        <f>'HPBr Checklist'!$R49</f>
        <v>0</v>
      </c>
      <c r="B53" s="364" t="str">
        <f>'HPBr Checklist'!B49</f>
        <v>EE1.2</v>
      </c>
      <c r="C53" s="365" t="str">
        <f>'HPBr Checklist'!D49</f>
        <v>Commissioning - Advanced commissioning process</v>
      </c>
      <c r="D53" s="366" t="str">
        <f>IF(OR('HPBr Checklist'!C49="Yes",'HPBr Checklist'!C49=""),'HPBr Checklist'!E49,"N/A")</f>
        <v>Priority 1</v>
      </c>
      <c r="E53" s="367" t="str">
        <f>IF(A53=0,"N/A",'HPBr Checklist'!W49)</f>
        <v>N/A</v>
      </c>
    </row>
    <row r="54" spans="1:243" s="368" customFormat="1" ht="27.95" customHeight="1" x14ac:dyDescent="0.2">
      <c r="A54" s="363">
        <f>'HPBr Checklist'!$R50</f>
        <v>0</v>
      </c>
      <c r="B54" s="364" t="str">
        <f>'HPBr Checklist'!B50</f>
        <v>EE2.1</v>
      </c>
      <c r="C54" s="365" t="str">
        <f>'HPBr Checklist'!D50</f>
        <v>Energy Efficient Purchasing Policy - Energy Star qualified appliances &amp; equipment</v>
      </c>
      <c r="D54" s="366" t="str">
        <f>IF(OR('HPBr Checklist'!C50="Yes",'HPBr Checklist'!C50=""),'HPBr Checklist'!E50,"N/A")</f>
        <v>Required</v>
      </c>
      <c r="E54" s="367" t="str">
        <f>IF(A54=0,"N/A",'HPBr Checklist'!W50)</f>
        <v>N/A</v>
      </c>
    </row>
    <row r="55" spans="1:243" s="368" customFormat="1" ht="27.95" customHeight="1" x14ac:dyDescent="0.2">
      <c r="A55" s="363">
        <f>'HPBr Checklist'!$R51</f>
        <v>0</v>
      </c>
      <c r="B55" s="364" t="str">
        <f>'HPBr Checklist'!B51</f>
        <v>EE3.1</v>
      </c>
      <c r="C55" s="365" t="str">
        <f>'HPBr Checklist'!D51</f>
        <v>Energy Efficiency - Schematic Design energy modeling</v>
      </c>
      <c r="D55" s="366" t="str">
        <f>IF(OR('HPBr Checklist'!C51="Yes",'HPBr Checklist'!C51=""),'HPBr Checklist'!E51,"N/A")</f>
        <v>Required</v>
      </c>
      <c r="E55" s="367" t="str">
        <f>IF(A55=0,"N/A",'HPBr Checklist'!W51)</f>
        <v>N/A</v>
      </c>
    </row>
    <row r="56" spans="1:243" s="368" customFormat="1" ht="27.95" customHeight="1" x14ac:dyDescent="0.2">
      <c r="A56" s="363">
        <f>'HPBr Checklist'!$R52</f>
        <v>0</v>
      </c>
      <c r="B56" s="364" t="str">
        <f>'HPBr Checklist'!B52</f>
        <v>EE3.2</v>
      </c>
      <c r="C56" s="365" t="str">
        <f>'HPBr Checklist'!D52</f>
        <v xml:space="preserve">Energy Efficiency - Life Cycle Cost Analysis </v>
      </c>
      <c r="D56" s="366" t="str">
        <f>IF(OR('HPBr Checklist'!C52="Yes",'HPBr Checklist'!C52=""),'HPBr Checklist'!E52,"N/A")</f>
        <v>Priority 1</v>
      </c>
      <c r="E56" s="367" t="str">
        <f>IF(A56=0,"N/A",'HPBr Checklist'!W52)</f>
        <v>N/A</v>
      </c>
    </row>
    <row r="57" spans="1:243" s="368" customFormat="1" ht="27.95" customHeight="1" x14ac:dyDescent="0.2">
      <c r="A57" s="363">
        <f>'HPBr Checklist'!$R53</f>
        <v>0</v>
      </c>
      <c r="B57" s="364" t="str">
        <f>'HPBr Checklist'!B53</f>
        <v>EE3.3</v>
      </c>
      <c r="C57" s="365" t="str">
        <f>'HPBr Checklist'!D53</f>
        <v>Minimum Energy Performance - all projects to demonstrate compliance with ASHRAE 90.1-2010, according to project scope</v>
      </c>
      <c r="D57" s="366" t="str">
        <f>IF(OR('HPBr Checklist'!C53="Yes",'HPBr Checklist'!C53=""),'HPBr Checklist'!E53,"N/A")</f>
        <v>Required</v>
      </c>
      <c r="E57" s="367" t="str">
        <f>IF(A57=0,"N/A",'HPBr Checklist'!W53)</f>
        <v>N/A</v>
      </c>
    </row>
    <row r="58" spans="1:243" s="368" customFormat="1" ht="27.95" customHeight="1" x14ac:dyDescent="0.2">
      <c r="A58" s="363">
        <f>'HPBr Checklist'!$R54</f>
        <v>0</v>
      </c>
      <c r="B58" s="364" t="str">
        <f>'HPBr Checklist'!B54</f>
        <v>EE3.4</v>
      </c>
      <c r="C58" s="365" t="str">
        <f>'HPBr Checklist'!D54</f>
        <v>Improved Energy Performance - energy model is used during design, and final design demonstrates energy cost savings that exceed those required by the Minimum Energy Performance credit (EE3.3)</v>
      </c>
      <c r="D58" s="366" t="str">
        <f>IF(OR('HPBr Checklist'!C54="Yes",'HPBr Checklist'!C54=""),'HPBr Checklist'!E54,"N/A")</f>
        <v>Priority 1</v>
      </c>
      <c r="E58" s="367" t="str">
        <f>IF(A58=0,"N/A",'HPBr Checklist'!W54)</f>
        <v>N/A</v>
      </c>
    </row>
    <row r="59" spans="1:243" s="368" customFormat="1" ht="27.95" customHeight="1" x14ac:dyDescent="0.2">
      <c r="A59" s="363">
        <f>'HPBr Checklist'!$R55</f>
        <v>0</v>
      </c>
      <c r="B59" s="364" t="str">
        <f>'HPBr Checklist'!B55</f>
        <v>EE4.1</v>
      </c>
      <c r="C59" s="365" t="str">
        <f>'HPBr Checklist'!D55</f>
        <v>Energy Efficiency in Existing Buildings - Lighting Power Reduction</v>
      </c>
      <c r="D59" s="366" t="str">
        <f>IF(OR('HPBr Checklist'!C55="Yes",'HPBr Checklist'!C55=""),'HPBr Checklist'!E55,"N/A")</f>
        <v>Priority 1</v>
      </c>
      <c r="E59" s="367" t="str">
        <f>IF(A59=0,"N/A",'HPBr Checklist'!W55)</f>
        <v>N/A</v>
      </c>
    </row>
    <row r="60" spans="1:243" s="368" customFormat="1" ht="27.95" customHeight="1" x14ac:dyDescent="0.2">
      <c r="A60" s="363">
        <f>'HPBr Checklist'!$R56</f>
        <v>0</v>
      </c>
      <c r="B60" s="364" t="str">
        <f>'HPBr Checklist'!B56</f>
        <v>EE4.2</v>
      </c>
      <c r="C60" s="365" t="str">
        <f>'HPBr Checklist'!D56</f>
        <v>Energy Efficiency in Existing Buildings - Daylight Harvesting Controls</v>
      </c>
      <c r="D60" s="366" t="str">
        <f>IF(OR('HPBr Checklist'!C56="Yes",'HPBr Checklist'!C56=""),'HPBr Checklist'!E56,"N/A")</f>
        <v>Priority 1</v>
      </c>
      <c r="E60" s="367" t="str">
        <f>IF(A60=0,"N/A",'HPBr Checklist'!W56)</f>
        <v>N/A</v>
      </c>
    </row>
    <row r="61" spans="1:243" s="368" customFormat="1" ht="27.95" customHeight="1" x14ac:dyDescent="0.2">
      <c r="A61" s="363">
        <f>'HPBr Checklist'!$R57</f>
        <v>0</v>
      </c>
      <c r="B61" s="364" t="str">
        <f>'HPBr Checklist'!B57</f>
        <v>EE4.3</v>
      </c>
      <c r="C61" s="365" t="str">
        <f>'HPBr Checklist'!D57</f>
        <v>Energy Efficiency in Existing Buildings - Vacancy sensor-controlled lighting</v>
      </c>
      <c r="D61" s="366" t="str">
        <f>IF(OR('HPBr Checklist'!C57="Yes",'HPBr Checklist'!C57=""),'HPBr Checklist'!E57,"N/A")</f>
        <v>Priority 1</v>
      </c>
      <c r="E61" s="367" t="str">
        <f>IF(A61=0,"N/A",'HPBr Checklist'!W57)</f>
        <v>N/A</v>
      </c>
    </row>
    <row r="62" spans="1:243" s="368" customFormat="1" ht="27.95" customHeight="1" x14ac:dyDescent="0.2">
      <c r="A62" s="363">
        <f>'HPBr Checklist'!$R58</f>
        <v>0</v>
      </c>
      <c r="B62" s="364" t="str">
        <f>'HPBr Checklist'!B58</f>
        <v>EE4.4</v>
      </c>
      <c r="C62" s="365" t="str">
        <f>'HPBr Checklist'!D58</f>
        <v>Energy Efficiency in Existing Buildings - High efficiency HVAC Equipment</v>
      </c>
      <c r="D62" s="366" t="str">
        <f>IF(OR('HPBr Checklist'!C58="Yes",'HPBr Checklist'!C58=""),'HPBr Checklist'!E58,"N/A")</f>
        <v>Priority 1</v>
      </c>
      <c r="E62" s="367" t="str">
        <f>IF(A62=0,"N/A",'HPBr Checklist'!W58)</f>
        <v>N/A</v>
      </c>
    </row>
    <row r="63" spans="1:243" s="368" customFormat="1" ht="27.95" customHeight="1" x14ac:dyDescent="0.2">
      <c r="A63" s="363">
        <f>'HPBr Checklist'!$R59</f>
        <v>0</v>
      </c>
      <c r="B63" s="364" t="str">
        <f>'HPBr Checklist'!B59</f>
        <v>EE5.1</v>
      </c>
      <c r="C63" s="365" t="str">
        <f>'HPBr Checklist'!D59</f>
        <v>Energy Metering, Monitoring and Reporting:  Building-Level Metering</v>
      </c>
      <c r="D63" s="366" t="str">
        <f>IF(OR('HPBr Checklist'!C59="Yes",'HPBr Checklist'!C59=""),'HPBr Checklist'!E59,"N/A")</f>
        <v>Priority 1</v>
      </c>
      <c r="E63" s="367" t="str">
        <f>IF(A63=0,"N/A",'HPBr Checklist'!W59)</f>
        <v>N/A</v>
      </c>
    </row>
    <row r="64" spans="1:243" s="368" customFormat="1" ht="27.95" customHeight="1" x14ac:dyDescent="0.2">
      <c r="A64" s="363">
        <f>'HPBr Checklist'!$R60</f>
        <v>0</v>
      </c>
      <c r="B64" s="364" t="str">
        <f>'HPBr Checklist'!B60</f>
        <v>EE5.2</v>
      </c>
      <c r="C64" s="365" t="str">
        <f>'HPBr Checklist'!D60</f>
        <v>Energy Metering, Monitoring and Reporting: System level energy metering with measurement and verification - New Construction</v>
      </c>
      <c r="D64" s="366" t="str">
        <f>IF(OR('HPBr Checklist'!C60="Yes",'HPBr Checklist'!C60=""),'HPBr Checklist'!E60,"N/A")</f>
        <v>Priority 1</v>
      </c>
      <c r="E64" s="367" t="str">
        <f>IF(A64=0,"N/A",'HPBr Checklist'!W60)</f>
        <v>N/A</v>
      </c>
    </row>
    <row r="65" spans="1:243" s="368" customFormat="1" ht="27.95" customHeight="1" x14ac:dyDescent="0.2">
      <c r="A65" s="363">
        <f>'HPBr Checklist'!$R61</f>
        <v>0</v>
      </c>
      <c r="B65" s="364" t="str">
        <f>'HPBr Checklist'!B61</f>
        <v>EE5.3</v>
      </c>
      <c r="C65" s="365" t="str">
        <f>'HPBr Checklist'!D61</f>
        <v>Energy Metering, Monitoring and Reporting: System level energy metering with measurement and verification - Existing Buildings</v>
      </c>
      <c r="D65" s="366" t="str">
        <f>IF(OR('HPBr Checklist'!C61="Yes",'HPBr Checklist'!C61=""),'HPBr Checklist'!E61,"N/A")</f>
        <v>Priority 1</v>
      </c>
      <c r="E65" s="367" t="str">
        <f>IF(A65=0,"N/A",'HPBr Checklist'!W61)</f>
        <v>N/A</v>
      </c>
    </row>
    <row r="66" spans="1:243" s="368" customFormat="1" ht="27.95" customHeight="1" x14ac:dyDescent="0.2">
      <c r="A66" s="363">
        <f>'HPBr Checklist'!$R62</f>
        <v>0</v>
      </c>
      <c r="B66" s="364" t="str">
        <f>'HPBr Checklist'!B62</f>
        <v>EE6.1</v>
      </c>
      <c r="C66" s="365" t="str">
        <f>'HPBr Checklist'!D62</f>
        <v>Long-Term Energy Reporting - Maintain energy and water consumption data in Energy Star Portfolio Manager</v>
      </c>
      <c r="D66" s="366" t="str">
        <f>IF(OR('HPBr Checklist'!C62="Yes",'HPBr Checklist'!C62=""),'HPBr Checklist'!E62,"N/A")</f>
        <v>Priority 1</v>
      </c>
      <c r="E66" s="367" t="str">
        <f>IF(A66=0,"N/A",'HPBr Checklist'!W62)</f>
        <v>N/A</v>
      </c>
    </row>
    <row r="67" spans="1:243" s="368" customFormat="1" ht="27.95" customHeight="1" x14ac:dyDescent="0.2">
      <c r="A67" s="363">
        <f>'HPBr Checklist'!$R63</f>
        <v>0</v>
      </c>
      <c r="B67" s="364" t="str">
        <f>'HPBr Checklist'!B63</f>
        <v>EE7.1</v>
      </c>
      <c r="C67" s="365" t="str">
        <f>'HPBr Checklist'!D63</f>
        <v>Renewable Energy - Investigate life-cycle cost effectiveness of on-site renewable energy</v>
      </c>
      <c r="D67" s="366" t="str">
        <f>IF(OR('HPBr Checklist'!C63="Yes",'HPBr Checklist'!C63=""),'HPBr Checklist'!E63,"N/A")</f>
        <v>Priority 1</v>
      </c>
      <c r="E67" s="367" t="str">
        <f>IF(A67=0,"N/A",'HPBr Checklist'!W63)</f>
        <v>N/A</v>
      </c>
    </row>
    <row r="68" spans="1:243" s="368" customFormat="1" ht="27.95" customHeight="1" x14ac:dyDescent="0.2">
      <c r="A68" s="363">
        <f>'HPBr Checklist'!$R64</f>
        <v>0</v>
      </c>
      <c r="B68" s="364" t="str">
        <f>'HPBr Checklist'!B64</f>
        <v>EE7.2</v>
      </c>
      <c r="C68" s="365" t="str">
        <f>'HPBr Checklist'!D64</f>
        <v>Renewable Energy -  Provide Renewable Energy Credits (RECs) equal to 10% of annual site electricity through TVA or RECs equal to 35% from another source</v>
      </c>
      <c r="D68" s="366" t="str">
        <f>IF(OR('HPBr Checklist'!C64="Yes",'HPBr Checklist'!C64=""),'HPBr Checklist'!E64,"N/A")</f>
        <v>Priority 2</v>
      </c>
      <c r="E68" s="367" t="str">
        <f>IF(A68=0,"N/A",'HPBr Checklist'!W64)</f>
        <v>N/A</v>
      </c>
    </row>
    <row r="69" spans="1:243" ht="39.950000000000003" customHeight="1" x14ac:dyDescent="0.2">
      <c r="A69" s="390">
        <f>SUM(A71:A79)</f>
        <v>0</v>
      </c>
      <c r="B69" s="391"/>
      <c r="C69" s="392" t="s">
        <v>276</v>
      </c>
      <c r="D69" s="393"/>
      <c r="E69" s="394"/>
    </row>
    <row r="70" spans="1:243" ht="31.5" x14ac:dyDescent="0.2">
      <c r="A70" s="358" t="s">
        <v>138</v>
      </c>
      <c r="B70" s="359" t="s">
        <v>139</v>
      </c>
      <c r="C70" s="360" t="s">
        <v>3</v>
      </c>
      <c r="D70" s="360" t="s">
        <v>120</v>
      </c>
      <c r="E70" s="361" t="s">
        <v>787</v>
      </c>
      <c r="F70" s="362"/>
      <c r="G70" s="374"/>
      <c r="H70" s="375"/>
      <c r="I70" s="376"/>
      <c r="J70" s="374"/>
      <c r="K70" s="374"/>
      <c r="L70" s="377"/>
      <c r="M70" s="378"/>
      <c r="N70" s="379"/>
      <c r="O70" s="380"/>
      <c r="P70" s="379"/>
      <c r="Q70" s="381"/>
      <c r="R70" s="382"/>
      <c r="S70" s="379"/>
      <c r="T70" s="380"/>
      <c r="U70" s="379"/>
      <c r="V70" s="383"/>
      <c r="W70" s="374"/>
      <c r="X70" s="375"/>
      <c r="Y70" s="376"/>
      <c r="Z70" s="374"/>
      <c r="AA70" s="374"/>
      <c r="AB70" s="377"/>
      <c r="AC70" s="378"/>
      <c r="AD70" s="379"/>
      <c r="AE70" s="380"/>
      <c r="AF70" s="379"/>
      <c r="AG70" s="381"/>
      <c r="AH70" s="382"/>
      <c r="AI70" s="379"/>
      <c r="AJ70" s="380"/>
      <c r="AK70" s="379"/>
      <c r="AL70" s="383"/>
      <c r="AM70" s="374"/>
      <c r="AN70" s="375"/>
      <c r="AO70" s="376"/>
      <c r="AP70" s="374"/>
      <c r="AQ70" s="374"/>
      <c r="AR70" s="377"/>
      <c r="AS70" s="378"/>
      <c r="AT70" s="379"/>
      <c r="AU70" s="380"/>
      <c r="AV70" s="379"/>
      <c r="AW70" s="381"/>
      <c r="AX70" s="382"/>
      <c r="AY70" s="379"/>
      <c r="AZ70" s="380"/>
      <c r="BA70" s="379"/>
      <c r="BB70" s="383"/>
      <c r="BC70" s="374"/>
      <c r="BD70" s="375"/>
      <c r="BE70" s="376"/>
      <c r="BF70" s="374"/>
      <c r="BG70" s="374"/>
      <c r="BH70" s="377"/>
      <c r="BI70" s="378"/>
      <c r="BJ70" s="379"/>
      <c r="BK70" s="380"/>
      <c r="BL70" s="379"/>
      <c r="BM70" s="381"/>
      <c r="BN70" s="382"/>
      <c r="BO70" s="379"/>
      <c r="BP70" s="380"/>
      <c r="BQ70" s="379"/>
      <c r="BR70" s="383"/>
      <c r="BS70" s="374"/>
      <c r="BT70" s="375"/>
      <c r="BU70" s="376"/>
      <c r="BV70" s="374"/>
      <c r="BW70" s="374"/>
      <c r="BX70" s="377"/>
      <c r="BY70" s="378"/>
      <c r="BZ70" s="379"/>
      <c r="CA70" s="380"/>
      <c r="CB70" s="379"/>
      <c r="CC70" s="381"/>
      <c r="CD70" s="382"/>
      <c r="CE70" s="379"/>
      <c r="CF70" s="380"/>
      <c r="CG70" s="379"/>
      <c r="CH70" s="383"/>
      <c r="CI70" s="374"/>
      <c r="CJ70" s="375"/>
      <c r="CK70" s="376"/>
      <c r="CL70" s="374"/>
      <c r="CM70" s="374"/>
      <c r="CN70" s="377"/>
      <c r="CO70" s="378"/>
      <c r="CP70" s="379"/>
      <c r="CQ70" s="380"/>
      <c r="CR70" s="379"/>
      <c r="CS70" s="381"/>
      <c r="CT70" s="382"/>
      <c r="CU70" s="379"/>
      <c r="CV70" s="380"/>
      <c r="CW70" s="379"/>
      <c r="CX70" s="383"/>
      <c r="CY70" s="374"/>
      <c r="CZ70" s="375"/>
      <c r="DA70" s="376"/>
      <c r="DB70" s="374"/>
      <c r="DC70" s="374"/>
      <c r="DD70" s="377"/>
      <c r="DE70" s="378"/>
      <c r="DF70" s="379"/>
      <c r="DG70" s="380"/>
      <c r="DH70" s="379"/>
      <c r="DI70" s="381"/>
      <c r="DJ70" s="382"/>
      <c r="DK70" s="379"/>
      <c r="DL70" s="380"/>
      <c r="DM70" s="379"/>
      <c r="DN70" s="383"/>
      <c r="DO70" s="374"/>
      <c r="DP70" s="375"/>
      <c r="DQ70" s="376"/>
      <c r="DR70" s="374"/>
      <c r="DS70" s="374"/>
      <c r="DT70" s="377"/>
      <c r="DU70" s="378"/>
      <c r="DV70" s="379"/>
      <c r="DW70" s="380"/>
      <c r="DX70" s="379"/>
      <c r="DY70" s="381"/>
      <c r="DZ70" s="382"/>
      <c r="EA70" s="379"/>
      <c r="EB70" s="380"/>
      <c r="EC70" s="379"/>
      <c r="ED70" s="383"/>
      <c r="EE70" s="374"/>
      <c r="EF70" s="375"/>
      <c r="EG70" s="376"/>
      <c r="EH70" s="374"/>
      <c r="EI70" s="374"/>
      <c r="EJ70" s="377"/>
      <c r="EK70" s="378"/>
      <c r="EL70" s="379"/>
      <c r="EM70" s="380"/>
      <c r="EN70" s="379"/>
      <c r="EO70" s="381"/>
      <c r="EP70" s="382"/>
      <c r="EQ70" s="379"/>
      <c r="ER70" s="380"/>
      <c r="ES70" s="379"/>
      <c r="ET70" s="383"/>
      <c r="EU70" s="374"/>
      <c r="EV70" s="375"/>
      <c r="EW70" s="376"/>
      <c r="EX70" s="374"/>
      <c r="EY70" s="374"/>
      <c r="EZ70" s="377"/>
      <c r="FA70" s="378"/>
      <c r="FB70" s="379"/>
      <c r="FC70" s="380"/>
      <c r="FD70" s="379"/>
      <c r="FE70" s="381"/>
      <c r="FF70" s="382"/>
      <c r="FG70" s="379"/>
      <c r="FH70" s="380"/>
      <c r="FI70" s="379"/>
      <c r="FJ70" s="383"/>
      <c r="FK70" s="374"/>
      <c r="FL70" s="375"/>
      <c r="FM70" s="376"/>
      <c r="FN70" s="374"/>
      <c r="FO70" s="374"/>
      <c r="FP70" s="377"/>
      <c r="FQ70" s="378"/>
      <c r="FR70" s="379"/>
      <c r="FS70" s="380"/>
      <c r="FT70" s="379"/>
      <c r="FU70" s="381"/>
      <c r="FV70" s="382"/>
      <c r="FW70" s="379"/>
      <c r="FX70" s="380"/>
      <c r="FY70" s="379"/>
      <c r="FZ70" s="383"/>
      <c r="GA70" s="374"/>
      <c r="GB70" s="375"/>
      <c r="GC70" s="376"/>
      <c r="GD70" s="374"/>
      <c r="GE70" s="374"/>
      <c r="GF70" s="377"/>
      <c r="GG70" s="378"/>
      <c r="GH70" s="379"/>
      <c r="GI70" s="380"/>
      <c r="GJ70" s="379"/>
      <c r="GK70" s="381"/>
      <c r="GL70" s="382"/>
      <c r="GM70" s="379"/>
      <c r="GN70" s="380"/>
      <c r="GO70" s="379"/>
      <c r="GP70" s="383"/>
      <c r="GQ70" s="374"/>
      <c r="GR70" s="375"/>
      <c r="GS70" s="376"/>
      <c r="GT70" s="374"/>
      <c r="GU70" s="374"/>
      <c r="GV70" s="377"/>
      <c r="GW70" s="378"/>
      <c r="GX70" s="379"/>
      <c r="GY70" s="380"/>
      <c r="GZ70" s="379"/>
      <c r="HA70" s="381"/>
      <c r="HB70" s="382"/>
      <c r="HC70" s="379"/>
      <c r="HD70" s="380"/>
      <c r="HE70" s="379"/>
      <c r="HF70" s="383"/>
      <c r="HG70" s="374"/>
      <c r="HH70" s="375"/>
      <c r="HI70" s="376"/>
      <c r="HJ70" s="374"/>
      <c r="HK70" s="374"/>
      <c r="HL70" s="377"/>
      <c r="HM70" s="378"/>
      <c r="HN70" s="379"/>
      <c r="HO70" s="380"/>
      <c r="HP70" s="379"/>
      <c r="HQ70" s="381"/>
      <c r="HR70" s="382"/>
      <c r="HS70" s="379"/>
      <c r="HT70" s="380"/>
      <c r="HU70" s="379"/>
      <c r="HV70" s="383"/>
      <c r="HW70" s="374"/>
      <c r="HX70" s="375"/>
      <c r="HY70" s="376"/>
      <c r="HZ70" s="374"/>
      <c r="IA70" s="374"/>
      <c r="IB70" s="377"/>
      <c r="IC70" s="378"/>
      <c r="ID70" s="379"/>
      <c r="IE70" s="380"/>
      <c r="IF70" s="379"/>
      <c r="IG70" s="381"/>
      <c r="IH70" s="382"/>
      <c r="II70" s="379"/>
    </row>
    <row r="71" spans="1:243" s="368" customFormat="1" ht="27.95" customHeight="1" x14ac:dyDescent="0.2">
      <c r="A71" s="363">
        <f>'HPBr Checklist'!$R67</f>
        <v>0</v>
      </c>
      <c r="B71" s="364" t="str">
        <f>'HPBr Checklist'!B67</f>
        <v>MR1.1</v>
      </c>
      <c r="C71" s="365" t="str">
        <f>'HPBr Checklist'!D67</f>
        <v>Recycling Collection and Storage</v>
      </c>
      <c r="D71" s="366" t="str">
        <f>IF(OR('HPBr Checklist'!C67="Yes",'HPBr Checklist'!C67=""),'HPBr Checklist'!E67,"N/A")</f>
        <v>Required</v>
      </c>
      <c r="E71" s="367" t="str">
        <f>IF(A71=0,"N/A",'HPBr Checklist'!W67)</f>
        <v>N/A</v>
      </c>
    </row>
    <row r="72" spans="1:243" s="368" customFormat="1" ht="27.95" customHeight="1" x14ac:dyDescent="0.2">
      <c r="A72" s="363">
        <f>'HPBr Checklist'!$R68</f>
        <v>0</v>
      </c>
      <c r="B72" s="364" t="str">
        <f>'HPBr Checklist'!B68</f>
        <v>MR2.1</v>
      </c>
      <c r="C72" s="365" t="str">
        <f>'HPBr Checklist'!D68</f>
        <v>Construction Waste Management (50%, 75%, 95%)</v>
      </c>
      <c r="D72" s="366" t="str">
        <f>IF(OR('HPBr Checklist'!C68="Yes",'HPBr Checklist'!C68=""),'HPBr Checklist'!E68,"N/A")</f>
        <v>Priority 1</v>
      </c>
      <c r="E72" s="367" t="str">
        <f>IF(A73=0,"N/A",'HPBr Checklist'!W68)</f>
        <v>N/A</v>
      </c>
    </row>
    <row r="73" spans="1:243" s="368" customFormat="1" ht="27.95" customHeight="1" x14ac:dyDescent="0.2">
      <c r="A73" s="363">
        <f>'HPBr Checklist'!$R69</f>
        <v>0</v>
      </c>
      <c r="B73" s="364" t="str">
        <f>'HPBr Checklist'!B69</f>
        <v>MR3.1</v>
      </c>
      <c r="C73" s="365" t="str">
        <f>'HPBr Checklist'!D69</f>
        <v>Sustainable Materials: Recycled content 10%</v>
      </c>
      <c r="D73" s="366" t="str">
        <f>IF(OR('HPBr Checklist'!C69="Yes",'HPBr Checklist'!C69=""),'HPBr Checklist'!E69,"N/A")</f>
        <v>Required</v>
      </c>
      <c r="E73" s="367" t="str">
        <f>IF(A74=0,"N/A",'HPBr Checklist'!W69)</f>
        <v>N/A</v>
      </c>
    </row>
    <row r="74" spans="1:243" s="368" customFormat="1" ht="27.95" customHeight="1" x14ac:dyDescent="0.2">
      <c r="A74" s="363">
        <f>'HPBr Checklist'!$R70</f>
        <v>0</v>
      </c>
      <c r="B74" s="364" t="str">
        <f>'HPBr Checklist'!B70</f>
        <v>MR3.2</v>
      </c>
      <c r="C74" s="365" t="str">
        <f>'HPBr Checklist'!D70</f>
        <v>Sustainable Materials: Recycled content 20%</v>
      </c>
      <c r="D74" s="366" t="str">
        <f>IF(OR('HPBr Checklist'!C70="Yes",'HPBr Checklist'!C70=""),'HPBr Checklist'!E70,"N/A")</f>
        <v>Priority 2</v>
      </c>
      <c r="E74" s="367" t="str">
        <f>IF(A77=0,"N/A",'HPBr Checklist'!W70)</f>
        <v>N/A</v>
      </c>
    </row>
    <row r="75" spans="1:243" s="368" customFormat="1" ht="27.95" customHeight="1" x14ac:dyDescent="0.2">
      <c r="A75" s="363">
        <f>'HPBr Checklist'!$R71</f>
        <v>0</v>
      </c>
      <c r="B75" s="364" t="str">
        <f>'HPBr Checklist'!B71</f>
        <v>MR3.3</v>
      </c>
      <c r="C75" s="365" t="s">
        <v>124</v>
      </c>
      <c r="D75" s="366" t="str">
        <f>IF(OR('HPBr Checklist'!C71="Yes",'HPBr Checklist'!C71=""),'HPBr Checklist'!E71,"N/A")</f>
        <v>Priority 1</v>
      </c>
      <c r="E75" s="367" t="s">
        <v>128</v>
      </c>
    </row>
    <row r="76" spans="1:243" s="368" customFormat="1" ht="27.95" customHeight="1" x14ac:dyDescent="0.2">
      <c r="A76" s="363">
        <f>'HPBr Checklist'!$R72</f>
        <v>0</v>
      </c>
      <c r="B76" s="364" t="str">
        <f>'HPBr Checklist'!B72</f>
        <v>MR3.4</v>
      </c>
      <c r="C76" s="365" t="s">
        <v>125</v>
      </c>
      <c r="D76" s="366" t="str">
        <f>IF(OR('HPBr Checklist'!C72="Yes",'HPBr Checklist'!C72=""),'HPBr Checklist'!E72,"N/A")</f>
        <v>Priority 1</v>
      </c>
      <c r="E76" s="367" t="s">
        <v>128</v>
      </c>
    </row>
    <row r="77" spans="1:243" s="368" customFormat="1" ht="27.95" customHeight="1" x14ac:dyDescent="0.2">
      <c r="A77" s="363">
        <f>'HPBr Checklist'!$R73</f>
        <v>0</v>
      </c>
      <c r="B77" s="364" t="str">
        <f>'HPBr Checklist'!B73</f>
        <v>MR3.5</v>
      </c>
      <c r="C77" s="365" t="s">
        <v>126</v>
      </c>
      <c r="D77" s="366" t="str">
        <f>IF(OR('HPBr Checklist'!C73="Yes",'HPBr Checklist'!C73=""),'HPBr Checklist'!E73,"N/A")</f>
        <v>Priority 2</v>
      </c>
      <c r="E77" s="367" t="s">
        <v>128</v>
      </c>
    </row>
    <row r="78" spans="1:243" s="368" customFormat="1" ht="27.95" customHeight="1" x14ac:dyDescent="0.2">
      <c r="A78" s="363">
        <f>'HPBr Checklist'!$R74</f>
        <v>0</v>
      </c>
      <c r="B78" s="364" t="str">
        <f>'HPBr Checklist'!B74</f>
        <v>MR3.6</v>
      </c>
      <c r="C78" s="365" t="str">
        <f>'HPBr Checklist'!D74</f>
        <v>Sustainable Materials: Material reuse</v>
      </c>
      <c r="D78" s="366" t="str">
        <f>IF(OR('HPBr Checklist'!C74="Yes",'HPBr Checklist'!C74=""),'HPBr Checklist'!E74,"N/A")</f>
        <v>Priority 2</v>
      </c>
      <c r="E78" s="367" t="str">
        <f>IF(A78=0,"N/A",'HPBr Checklist'!W74)</f>
        <v>N/A</v>
      </c>
    </row>
    <row r="79" spans="1:243" s="368" customFormat="1" ht="27.95" customHeight="1" x14ac:dyDescent="0.2">
      <c r="A79" s="363">
        <f>'HPBr Checklist'!$R75</f>
        <v>0</v>
      </c>
      <c r="B79" s="364" t="str">
        <f>'HPBr Checklist'!B75</f>
        <v>MR3.7</v>
      </c>
      <c r="C79" s="365" t="str">
        <f>'HPBr Checklist'!D75</f>
        <v>Sustainable Materials: Rapidly renewables</v>
      </c>
      <c r="D79" s="366" t="str">
        <f>IF(OR('HPBr Checklist'!C75="Yes",'HPBr Checklist'!C75=""),'HPBr Checklist'!E75,"N/A")</f>
        <v>Priority 2</v>
      </c>
      <c r="E79" s="367" t="str">
        <f>IF(A79=0,"N/A",'HPBr Checklist'!W75)</f>
        <v>N/A</v>
      </c>
    </row>
    <row r="80" spans="1:243" ht="39.950000000000003" customHeight="1" x14ac:dyDescent="0.2">
      <c r="A80" s="395">
        <f>SUM(A82:A100)</f>
        <v>0</v>
      </c>
      <c r="B80" s="396"/>
      <c r="C80" s="397" t="s">
        <v>134</v>
      </c>
      <c r="D80" s="398"/>
      <c r="E80" s="399"/>
    </row>
    <row r="81" spans="1:243" ht="31.5" x14ac:dyDescent="0.2">
      <c r="A81" s="358" t="s">
        <v>138</v>
      </c>
      <c r="B81" s="359" t="s">
        <v>139</v>
      </c>
      <c r="C81" s="360" t="s">
        <v>3</v>
      </c>
      <c r="D81" s="360" t="s">
        <v>120</v>
      </c>
      <c r="E81" s="361" t="s">
        <v>787</v>
      </c>
      <c r="F81" s="362"/>
      <c r="G81" s="374"/>
      <c r="H81" s="375"/>
      <c r="I81" s="376"/>
      <c r="J81" s="374"/>
      <c r="K81" s="374"/>
      <c r="L81" s="377"/>
      <c r="M81" s="378"/>
      <c r="N81" s="379"/>
      <c r="O81" s="380"/>
      <c r="P81" s="379"/>
      <c r="Q81" s="381"/>
      <c r="R81" s="382"/>
      <c r="S81" s="379"/>
      <c r="T81" s="380"/>
      <c r="U81" s="379"/>
      <c r="V81" s="383"/>
      <c r="W81" s="374"/>
      <c r="X81" s="375"/>
      <c r="Y81" s="376"/>
      <c r="Z81" s="374"/>
      <c r="AA81" s="374"/>
      <c r="AB81" s="377"/>
      <c r="AC81" s="378"/>
      <c r="AD81" s="379"/>
      <c r="AE81" s="380"/>
      <c r="AF81" s="379"/>
      <c r="AG81" s="381"/>
      <c r="AH81" s="382"/>
      <c r="AI81" s="379"/>
      <c r="AJ81" s="380"/>
      <c r="AK81" s="379"/>
      <c r="AL81" s="383"/>
      <c r="AM81" s="374"/>
      <c r="AN81" s="375"/>
      <c r="AO81" s="376"/>
      <c r="AP81" s="374"/>
      <c r="AQ81" s="374"/>
      <c r="AR81" s="377"/>
      <c r="AS81" s="378"/>
      <c r="AT81" s="379"/>
      <c r="AU81" s="380"/>
      <c r="AV81" s="379"/>
      <c r="AW81" s="381"/>
      <c r="AX81" s="382"/>
      <c r="AY81" s="379"/>
      <c r="AZ81" s="380"/>
      <c r="BA81" s="379"/>
      <c r="BB81" s="383"/>
      <c r="BC81" s="374"/>
      <c r="BD81" s="375"/>
      <c r="BE81" s="376"/>
      <c r="BF81" s="374"/>
      <c r="BG81" s="374"/>
      <c r="BH81" s="377"/>
      <c r="BI81" s="378"/>
      <c r="BJ81" s="379"/>
      <c r="BK81" s="380"/>
      <c r="BL81" s="379"/>
      <c r="BM81" s="381"/>
      <c r="BN81" s="382"/>
      <c r="BO81" s="379"/>
      <c r="BP81" s="380"/>
      <c r="BQ81" s="379"/>
      <c r="BR81" s="383"/>
      <c r="BS81" s="374"/>
      <c r="BT81" s="375"/>
      <c r="BU81" s="376"/>
      <c r="BV81" s="374"/>
      <c r="BW81" s="374"/>
      <c r="BX81" s="377"/>
      <c r="BY81" s="378"/>
      <c r="BZ81" s="379"/>
      <c r="CA81" s="380"/>
      <c r="CB81" s="379"/>
      <c r="CC81" s="381"/>
      <c r="CD81" s="382"/>
      <c r="CE81" s="379"/>
      <c r="CF81" s="380"/>
      <c r="CG81" s="379"/>
      <c r="CH81" s="383"/>
      <c r="CI81" s="374"/>
      <c r="CJ81" s="375"/>
      <c r="CK81" s="376"/>
      <c r="CL81" s="374"/>
      <c r="CM81" s="374"/>
      <c r="CN81" s="377"/>
      <c r="CO81" s="378"/>
      <c r="CP81" s="379"/>
      <c r="CQ81" s="380"/>
      <c r="CR81" s="379"/>
      <c r="CS81" s="381"/>
      <c r="CT81" s="382"/>
      <c r="CU81" s="379"/>
      <c r="CV81" s="380"/>
      <c r="CW81" s="379"/>
      <c r="CX81" s="383"/>
      <c r="CY81" s="374"/>
      <c r="CZ81" s="375"/>
      <c r="DA81" s="376"/>
      <c r="DB81" s="374"/>
      <c r="DC81" s="374"/>
      <c r="DD81" s="377"/>
      <c r="DE81" s="378"/>
      <c r="DF81" s="379"/>
      <c r="DG81" s="380"/>
      <c r="DH81" s="379"/>
      <c r="DI81" s="381"/>
      <c r="DJ81" s="382"/>
      <c r="DK81" s="379"/>
      <c r="DL81" s="380"/>
      <c r="DM81" s="379"/>
      <c r="DN81" s="383"/>
      <c r="DO81" s="374"/>
      <c r="DP81" s="375"/>
      <c r="DQ81" s="376"/>
      <c r="DR81" s="374"/>
      <c r="DS81" s="374"/>
      <c r="DT81" s="377"/>
      <c r="DU81" s="378"/>
      <c r="DV81" s="379"/>
      <c r="DW81" s="380"/>
      <c r="DX81" s="379"/>
      <c r="DY81" s="381"/>
      <c r="DZ81" s="382"/>
      <c r="EA81" s="379"/>
      <c r="EB81" s="380"/>
      <c r="EC81" s="379"/>
      <c r="ED81" s="383"/>
      <c r="EE81" s="374"/>
      <c r="EF81" s="375"/>
      <c r="EG81" s="376"/>
      <c r="EH81" s="374"/>
      <c r="EI81" s="374"/>
      <c r="EJ81" s="377"/>
      <c r="EK81" s="378"/>
      <c r="EL81" s="379"/>
      <c r="EM81" s="380"/>
      <c r="EN81" s="379"/>
      <c r="EO81" s="381"/>
      <c r="EP81" s="382"/>
      <c r="EQ81" s="379"/>
      <c r="ER81" s="380"/>
      <c r="ES81" s="379"/>
      <c r="ET81" s="383"/>
      <c r="EU81" s="374"/>
      <c r="EV81" s="375"/>
      <c r="EW81" s="376"/>
      <c r="EX81" s="374"/>
      <c r="EY81" s="374"/>
      <c r="EZ81" s="377"/>
      <c r="FA81" s="378"/>
      <c r="FB81" s="379"/>
      <c r="FC81" s="380"/>
      <c r="FD81" s="379"/>
      <c r="FE81" s="381"/>
      <c r="FF81" s="382"/>
      <c r="FG81" s="379"/>
      <c r="FH81" s="380"/>
      <c r="FI81" s="379"/>
      <c r="FJ81" s="383"/>
      <c r="FK81" s="374"/>
      <c r="FL81" s="375"/>
      <c r="FM81" s="376"/>
      <c r="FN81" s="374"/>
      <c r="FO81" s="374"/>
      <c r="FP81" s="377"/>
      <c r="FQ81" s="378"/>
      <c r="FR81" s="379"/>
      <c r="FS81" s="380"/>
      <c r="FT81" s="379"/>
      <c r="FU81" s="381"/>
      <c r="FV81" s="382"/>
      <c r="FW81" s="379"/>
      <c r="FX81" s="380"/>
      <c r="FY81" s="379"/>
      <c r="FZ81" s="383"/>
      <c r="GA81" s="374"/>
      <c r="GB81" s="375"/>
      <c r="GC81" s="376"/>
      <c r="GD81" s="374"/>
      <c r="GE81" s="374"/>
      <c r="GF81" s="377"/>
      <c r="GG81" s="378"/>
      <c r="GH81" s="379"/>
      <c r="GI81" s="380"/>
      <c r="GJ81" s="379"/>
      <c r="GK81" s="381"/>
      <c r="GL81" s="382"/>
      <c r="GM81" s="379"/>
      <c r="GN81" s="380"/>
      <c r="GO81" s="379"/>
      <c r="GP81" s="383"/>
      <c r="GQ81" s="374"/>
      <c r="GR81" s="375"/>
      <c r="GS81" s="376"/>
      <c r="GT81" s="374"/>
      <c r="GU81" s="374"/>
      <c r="GV81" s="377"/>
      <c r="GW81" s="378"/>
      <c r="GX81" s="379"/>
      <c r="GY81" s="380"/>
      <c r="GZ81" s="379"/>
      <c r="HA81" s="381"/>
      <c r="HB81" s="382"/>
      <c r="HC81" s="379"/>
      <c r="HD81" s="380"/>
      <c r="HE81" s="379"/>
      <c r="HF81" s="383"/>
      <c r="HG81" s="374"/>
      <c r="HH81" s="375"/>
      <c r="HI81" s="376"/>
      <c r="HJ81" s="374"/>
      <c r="HK81" s="374"/>
      <c r="HL81" s="377"/>
      <c r="HM81" s="378"/>
      <c r="HN81" s="379"/>
      <c r="HO81" s="380"/>
      <c r="HP81" s="379"/>
      <c r="HQ81" s="381"/>
      <c r="HR81" s="382"/>
      <c r="HS81" s="379"/>
      <c r="HT81" s="380"/>
      <c r="HU81" s="379"/>
      <c r="HV81" s="383"/>
      <c r="HW81" s="374"/>
      <c r="HX81" s="375"/>
      <c r="HY81" s="376"/>
      <c r="HZ81" s="374"/>
      <c r="IA81" s="374"/>
      <c r="IB81" s="377"/>
      <c r="IC81" s="378"/>
      <c r="ID81" s="379"/>
      <c r="IE81" s="380"/>
      <c r="IF81" s="379"/>
      <c r="IG81" s="381"/>
      <c r="IH81" s="382"/>
      <c r="II81" s="379"/>
    </row>
    <row r="82" spans="1:243" s="368" customFormat="1" ht="27.95" customHeight="1" x14ac:dyDescent="0.2">
      <c r="A82" s="363">
        <f>'HPBr Checklist'!$R78</f>
        <v>0</v>
      </c>
      <c r="B82" s="364" t="str">
        <f>'HPBr Checklist'!B78</f>
        <v>EQ1.1</v>
      </c>
      <c r="C82" s="365" t="str">
        <f>'HPBr Checklist'!D78</f>
        <v>Tobacco Smoke Control</v>
      </c>
      <c r="D82" s="366" t="str">
        <f>IF(OR('HPBr Checklist'!C78="Yes",'HPBr Checklist'!C78=""),'HPBr Checklist'!E78,"N/A")</f>
        <v>Required</v>
      </c>
      <c r="E82" s="367" t="str">
        <f>IF(A82=0,"N/A",'HPBr Checklist'!W78)</f>
        <v>N/A</v>
      </c>
    </row>
    <row r="83" spans="1:243" s="368" customFormat="1" ht="27.95" customHeight="1" x14ac:dyDescent="0.2">
      <c r="A83" s="363">
        <f>'HPBr Checklist'!$R79</f>
        <v>0</v>
      </c>
      <c r="B83" s="364" t="str">
        <f>'HPBr Checklist'!B79</f>
        <v>EQ2.1</v>
      </c>
      <c r="C83" s="365" t="str">
        <f>'HPBr Checklist'!D79</f>
        <v>Minimum Ventilation: Design to meet ASHRAE 62.1-2007 or 2012 IMC</v>
      </c>
      <c r="D83" s="366" t="str">
        <f>IF(OR('HPBr Checklist'!C79="Yes",'HPBr Checklist'!C79=""),'HPBr Checklist'!E79,"N/A")</f>
        <v>Required</v>
      </c>
      <c r="E83" s="367" t="str">
        <f>IF(A83=0,"N/A",'HPBr Checklist'!W79)</f>
        <v>N/A</v>
      </c>
    </row>
    <row r="84" spans="1:243" s="368" customFormat="1" ht="27.95" customHeight="1" x14ac:dyDescent="0.2">
      <c r="A84" s="363">
        <f>'HPBr Checklist'!$R80</f>
        <v>0</v>
      </c>
      <c r="B84" s="364" t="str">
        <f>'HPBr Checklist'!B80</f>
        <v>EQ3.1</v>
      </c>
      <c r="C84" s="365" t="str">
        <f>'HPBr Checklist'!D80</f>
        <v>Outdoor Air Delivery Monitoring: Provide a direct outdoor airflow measurement device</v>
      </c>
      <c r="D84" s="366" t="str">
        <f>IF(OR('HPBr Checklist'!C80="Yes",'HPBr Checklist'!C80=""),'HPBr Checklist'!E80,"N/A")</f>
        <v>Priority 2</v>
      </c>
      <c r="E84" s="367" t="str">
        <f>IF(A84=0,"N/A",'HPBr Checklist'!W80)</f>
        <v>N/A</v>
      </c>
    </row>
    <row r="85" spans="1:243" s="368" customFormat="1" ht="27.95" customHeight="1" x14ac:dyDescent="0.2">
      <c r="A85" s="363">
        <f>'HPBr Checklist'!$R81</f>
        <v>0</v>
      </c>
      <c r="B85" s="364" t="str">
        <f>'HPBr Checklist'!B81</f>
        <v>EQ4.1</v>
      </c>
      <c r="C85" s="365" t="str">
        <f>'HPBr Checklist'!D81</f>
        <v>CO2  Monitoring: Provide CO2 monitors in all high occupancy areas</v>
      </c>
      <c r="D85" s="366" t="str">
        <f>IF(OR('HPBr Checklist'!C81="Yes",'HPBr Checklist'!C81=""),'HPBr Checklist'!E81,"N/A")</f>
        <v>Priority 2</v>
      </c>
      <c r="E85" s="367" t="str">
        <f>IF(A85=0,"N/A",'HPBr Checklist'!W81)</f>
        <v>N/A</v>
      </c>
    </row>
    <row r="86" spans="1:243" s="368" customFormat="1" ht="27.95" customHeight="1" x14ac:dyDescent="0.2">
      <c r="A86" s="363">
        <f>'HPBr Checklist'!$R82</f>
        <v>0</v>
      </c>
      <c r="B86" s="364" t="str">
        <f>'HPBr Checklist'!B82</f>
        <v>EQ5.1</v>
      </c>
      <c r="C86" s="365" t="str">
        <f>'HPBr Checklist'!D82</f>
        <v>Air Quality Management: During construction</v>
      </c>
      <c r="D86" s="366" t="str">
        <f>IF(OR('HPBr Checklist'!C82="Yes",'HPBr Checklist'!C82=""),'HPBr Checklist'!E82,"N/A")</f>
        <v>Priority 1</v>
      </c>
      <c r="E86" s="367" t="str">
        <f>IF(A86=0,"N/A",'HPBr Checklist'!W82)</f>
        <v>N/A</v>
      </c>
    </row>
    <row r="87" spans="1:243" s="368" customFormat="1" ht="27.95" customHeight="1" x14ac:dyDescent="0.2">
      <c r="A87" s="363">
        <f>'HPBr Checklist'!$R83</f>
        <v>0</v>
      </c>
      <c r="B87" s="364" t="str">
        <f>'HPBr Checklist'!B83</f>
        <v>EQ5.2</v>
      </c>
      <c r="C87" s="365" t="str">
        <f>'HPBr Checklist'!D83</f>
        <v>Air Quality Management: Before occupancy</v>
      </c>
      <c r="D87" s="366" t="str">
        <f>IF(OR('HPBr Checklist'!C83="Yes",'HPBr Checklist'!C83=""),'HPBr Checklist'!E83,"N/A")</f>
        <v>Priority 2</v>
      </c>
      <c r="E87" s="367" t="str">
        <f>IF(A87=0,"N/A",'HPBr Checklist'!W83)</f>
        <v>N/A</v>
      </c>
    </row>
    <row r="88" spans="1:243" s="368" customFormat="1" ht="27.95" customHeight="1" x14ac:dyDescent="0.2">
      <c r="A88" s="363">
        <f>'HPBr Checklist'!$R84</f>
        <v>0</v>
      </c>
      <c r="B88" s="364" t="str">
        <f>'HPBr Checklist'!B84</f>
        <v>EQ6.1</v>
      </c>
      <c r="C88" s="365" t="str">
        <f>'HPBr Checklist'!D84</f>
        <v xml:space="preserve"> Material VOC Limits: Adhesives and sealants</v>
      </c>
      <c r="D88" s="366" t="str">
        <f>IF(OR('HPBr Checklist'!C84="Yes",'HPBr Checklist'!C84=""),'HPBr Checklist'!E84,"N/A")</f>
        <v>Required</v>
      </c>
      <c r="E88" s="367" t="str">
        <f>IF(A88=0,"N/A",'HPBr Checklist'!W84)</f>
        <v>N/A</v>
      </c>
    </row>
    <row r="89" spans="1:243" s="368" customFormat="1" ht="27.95" customHeight="1" x14ac:dyDescent="0.2">
      <c r="A89" s="363">
        <f>'HPBr Checklist'!$R85</f>
        <v>0</v>
      </c>
      <c r="B89" s="364" t="str">
        <f>'HPBr Checklist'!B85</f>
        <v>EQ6.2</v>
      </c>
      <c r="C89" s="365" t="str">
        <f>'HPBr Checklist'!D85</f>
        <v xml:space="preserve"> Material VOC Limits: Paints</v>
      </c>
      <c r="D89" s="366" t="str">
        <f>IF(OR('HPBr Checklist'!C85="Yes",'HPBr Checklist'!C85=""),'HPBr Checklist'!E85,"N/A")</f>
        <v>Required</v>
      </c>
      <c r="E89" s="367" t="str">
        <f>IF(A89=0,"N/A",'HPBr Checklist'!W85)</f>
        <v>N/A</v>
      </c>
    </row>
    <row r="90" spans="1:243" s="368" customFormat="1" ht="27.95" customHeight="1" x14ac:dyDescent="0.2">
      <c r="A90" s="363">
        <f>'HPBr Checklist'!$R86</f>
        <v>0</v>
      </c>
      <c r="B90" s="364" t="str">
        <f>'HPBr Checklist'!B86</f>
        <v>EQ6.3</v>
      </c>
      <c r="C90" s="365" t="str">
        <f>'HPBr Checklist'!D86</f>
        <v xml:space="preserve"> Material VOC Limits: Coatings and anti-corrosive paints</v>
      </c>
      <c r="D90" s="366" t="str">
        <f>IF(OR('HPBr Checklist'!C86="Yes",'HPBr Checklist'!C86=""),'HPBr Checklist'!E86,"N/A")</f>
        <v>Required</v>
      </c>
      <c r="E90" s="367" t="str">
        <f>IF(A90=0,"N/A",'HPBr Checklist'!W86)</f>
        <v>N/A</v>
      </c>
    </row>
    <row r="91" spans="1:243" s="368" customFormat="1" ht="27.95" customHeight="1" x14ac:dyDescent="0.2">
      <c r="A91" s="363">
        <f>'HPBr Checklist'!$R87</f>
        <v>0</v>
      </c>
      <c r="B91" s="364" t="str">
        <f>'HPBr Checklist'!B87</f>
        <v>EQ6.4</v>
      </c>
      <c r="C91" s="365" t="str">
        <f>'HPBr Checklist'!D87</f>
        <v xml:space="preserve"> Material VOC Limits: Flooring systems</v>
      </c>
      <c r="D91" s="366" t="str">
        <f>IF(OR('HPBr Checklist'!C87="Yes",'HPBr Checklist'!C87=""),'HPBr Checklist'!E87,"N/A")</f>
        <v>Required</v>
      </c>
      <c r="E91" s="367" t="str">
        <f>IF(A91=0,"N/A",'HPBr Checklist'!W87)</f>
        <v>N/A</v>
      </c>
    </row>
    <row r="92" spans="1:243" s="368" customFormat="1" ht="27.95" customHeight="1" x14ac:dyDescent="0.2">
      <c r="A92" s="363">
        <f>'HPBr Checklist'!$R88</f>
        <v>0</v>
      </c>
      <c r="B92" s="364" t="str">
        <f>'HPBr Checklist'!B88</f>
        <v>EQ6.5</v>
      </c>
      <c r="C92" s="365" t="str">
        <f>'HPBr Checklist'!D88</f>
        <v xml:space="preserve"> Material VOC Limits: Composite wood and agrifiber</v>
      </c>
      <c r="D92" s="366" t="str">
        <f>IF(OR('HPBr Checklist'!C88="Yes",'HPBr Checklist'!C88=""),'HPBr Checklist'!E88,"N/A")</f>
        <v>Required</v>
      </c>
      <c r="E92" s="367" t="str">
        <f>IF(A92=0,"N/A",'HPBr Checklist'!W88)</f>
        <v>N/A</v>
      </c>
    </row>
    <row r="93" spans="1:243" s="368" customFormat="1" ht="27.95" customHeight="1" x14ac:dyDescent="0.2">
      <c r="A93" s="363">
        <f>'HPBr Checklist'!$R89</f>
        <v>0</v>
      </c>
      <c r="B93" s="364" t="str">
        <f>'HPBr Checklist'!B89</f>
        <v>EQ7.1</v>
      </c>
      <c r="C93" s="365" t="str">
        <f>'HPBr Checklist'!D89</f>
        <v xml:space="preserve"> Pollutant Control: Entryway systems</v>
      </c>
      <c r="D93" s="366" t="str">
        <f>IF(OR('HPBr Checklist'!C89="Yes",'HPBr Checklist'!C89=""),'HPBr Checklist'!E89,"N/A")</f>
        <v>Priority 1</v>
      </c>
      <c r="E93" s="367" t="str">
        <f>IF(A93=0,"N/A",'HPBr Checklist'!W89)</f>
        <v>N/A</v>
      </c>
    </row>
    <row r="94" spans="1:243" s="368" customFormat="1" ht="27.95" customHeight="1" x14ac:dyDescent="0.2">
      <c r="A94" s="363">
        <f>'HPBr Checklist'!$R90</f>
        <v>0</v>
      </c>
      <c r="B94" s="364" t="str">
        <f>'HPBr Checklist'!B90</f>
        <v>EQ7.2</v>
      </c>
      <c r="C94" s="365" t="str">
        <f>'HPBr Checklist'!D90</f>
        <v xml:space="preserve"> Pollutant Control: Hazardous material storage</v>
      </c>
      <c r="D94" s="366" t="str">
        <f>IF(OR('HPBr Checklist'!C90="Yes",'HPBr Checklist'!C90=""),'HPBr Checklist'!E90,"N/A")</f>
        <v>Required</v>
      </c>
      <c r="E94" s="367" t="str">
        <f>IF(A94=0,"N/A",'HPBr Checklist'!W90)</f>
        <v>N/A</v>
      </c>
    </row>
    <row r="95" spans="1:243" s="368" customFormat="1" ht="27.95" customHeight="1" x14ac:dyDescent="0.2">
      <c r="A95" s="363">
        <f>'HPBr Checklist'!$R91</f>
        <v>0</v>
      </c>
      <c r="B95" s="364" t="str">
        <f>'HPBr Checklist'!B91</f>
        <v>EQ7.3</v>
      </c>
      <c r="C95" s="365" t="str">
        <f>'HPBr Checklist'!D91</f>
        <v xml:space="preserve"> Pollutant Control: Filtration media</v>
      </c>
      <c r="D95" s="366" t="str">
        <f>IF(OR('HPBr Checklist'!C91="Yes",'HPBr Checklist'!C91=""),'HPBr Checklist'!E91,"N/A")</f>
        <v>Priority 1</v>
      </c>
      <c r="E95" s="367" t="str">
        <f>IF(A95=0,"N/A",'HPBr Checklist'!W91)</f>
        <v>N/A</v>
      </c>
    </row>
    <row r="96" spans="1:243" s="368" customFormat="1" ht="27.95" customHeight="1" x14ac:dyDescent="0.2">
      <c r="A96" s="363">
        <f>'HPBr Checklist'!$R92</f>
        <v>0</v>
      </c>
      <c r="B96" s="364" t="str">
        <f>'HPBr Checklist'!B92</f>
        <v>EQ8.1</v>
      </c>
      <c r="C96" s="365" t="str">
        <f>'HPBr Checklist'!D92</f>
        <v xml:space="preserve">Thermal Comfort: Design to meet ASHRAE Standard 55-2004 </v>
      </c>
      <c r="D96" s="366" t="str">
        <f>IF(OR('HPBr Checklist'!C92="Yes",'HPBr Checklist'!C92=""),'HPBr Checklist'!E92,"N/A")</f>
        <v>Required</v>
      </c>
      <c r="E96" s="367" t="str">
        <f>IF(A96=0,"N/A",'HPBr Checklist'!W92)</f>
        <v>N/A</v>
      </c>
    </row>
    <row r="97" spans="1:243" s="368" customFormat="1" ht="27.95" customHeight="1" x14ac:dyDescent="0.2">
      <c r="A97" s="363">
        <f>'HPBr Checklist'!$R93</f>
        <v>0</v>
      </c>
      <c r="B97" s="364" t="str">
        <f>'HPBr Checklist'!B93</f>
        <v>EQ9.1</v>
      </c>
      <c r="C97" s="365" t="str">
        <f>'HPBr Checklist'!D93</f>
        <v>Individual Occupant System Controls: Lighting controls</v>
      </c>
      <c r="D97" s="366" t="str">
        <f>IF(OR('HPBr Checklist'!C93="Yes",'HPBr Checklist'!C93=""),'HPBr Checklist'!E93,"N/A")</f>
        <v>Priority 1</v>
      </c>
      <c r="E97" s="367" t="str">
        <f>IF(A97=0,"N/A",'HPBr Checklist'!W93)</f>
        <v>N/A</v>
      </c>
    </row>
    <row r="98" spans="1:243" s="368" customFormat="1" ht="27.95" customHeight="1" x14ac:dyDescent="0.2">
      <c r="A98" s="363">
        <f>'HPBr Checklist'!$R94</f>
        <v>0</v>
      </c>
      <c r="B98" s="364" t="str">
        <f>'HPBr Checklist'!B94</f>
        <v>EQ9.2</v>
      </c>
      <c r="C98" s="365" t="str">
        <f>'HPBr Checklist'!D94</f>
        <v>Individual Occupant System Controls: Thermal comfort</v>
      </c>
      <c r="D98" s="366" t="str">
        <f>IF(OR('HPBr Checklist'!C94="Yes",'HPBr Checklist'!C94=""),'HPBr Checklist'!E94,"N/A")</f>
        <v>Priority 2</v>
      </c>
      <c r="E98" s="367" t="str">
        <f>IF(A98=0,"N/A",'HPBr Checklist'!W94)</f>
        <v>N/A</v>
      </c>
    </row>
    <row r="99" spans="1:243" s="368" customFormat="1" ht="27.95" customHeight="1" x14ac:dyDescent="0.2">
      <c r="A99" s="363">
        <f>'HPBr Checklist'!$R95</f>
        <v>0</v>
      </c>
      <c r="B99" s="364" t="str">
        <f>'HPBr Checklist'!B95</f>
        <v>EQ10.1</v>
      </c>
      <c r="C99" s="365" t="str">
        <f>'HPBr Checklist'!D95</f>
        <v>Daylight to Occupied spaces</v>
      </c>
      <c r="D99" s="366" t="str">
        <f>IF(OR('HPBr Checklist'!C95="Yes",'HPBr Checklist'!C95=""),'HPBr Checklist'!E95,"N/A")</f>
        <v>Priority 1</v>
      </c>
      <c r="E99" s="367" t="str">
        <f>IF(A99=0,"N/A",'HPBr Checklist'!W95)</f>
        <v>N/A</v>
      </c>
    </row>
    <row r="100" spans="1:243" s="368" customFormat="1" ht="27.95" customHeight="1" x14ac:dyDescent="0.2">
      <c r="A100" s="363">
        <f>'HPBr Checklist'!$R96</f>
        <v>0</v>
      </c>
      <c r="B100" s="364" t="str">
        <f>'HPBr Checklist'!B96</f>
        <v>EQ11.1</v>
      </c>
      <c r="C100" s="365" t="str">
        <f>'HPBr Checklist'!D96</f>
        <v>Views from Occupied spaces</v>
      </c>
      <c r="D100" s="366" t="str">
        <f>IF(OR('HPBr Checklist'!C96="Yes",'HPBr Checklist'!C96=""),'HPBr Checklist'!E96,"N/A")</f>
        <v>Priority 1</v>
      </c>
      <c r="E100" s="367" t="str">
        <f>IF(A100=0,"N/A",'HPBr Checklist'!W96)</f>
        <v>N/A</v>
      </c>
    </row>
    <row r="101" spans="1:243" ht="39.950000000000003" customHeight="1" x14ac:dyDescent="0.2">
      <c r="A101" s="400">
        <f>SUM(A103:A107)</f>
        <v>0</v>
      </c>
      <c r="B101" s="401"/>
      <c r="C101" s="402" t="s">
        <v>272</v>
      </c>
      <c r="D101" s="403"/>
      <c r="E101" s="404"/>
    </row>
    <row r="102" spans="1:243" s="384" customFormat="1" ht="31.5" x14ac:dyDescent="0.2">
      <c r="A102" s="358" t="s">
        <v>138</v>
      </c>
      <c r="B102" s="359" t="s">
        <v>139</v>
      </c>
      <c r="C102" s="360" t="s">
        <v>3</v>
      </c>
      <c r="D102" s="360" t="s">
        <v>120</v>
      </c>
      <c r="E102" s="361" t="s">
        <v>787</v>
      </c>
      <c r="F102" s="362"/>
      <c r="G102" s="374"/>
      <c r="H102" s="375"/>
      <c r="I102" s="376"/>
      <c r="J102" s="374"/>
      <c r="K102" s="374"/>
      <c r="L102" s="377"/>
      <c r="M102" s="378"/>
      <c r="N102" s="379"/>
      <c r="O102" s="380"/>
      <c r="P102" s="379"/>
      <c r="Q102" s="381"/>
      <c r="R102" s="382"/>
      <c r="S102" s="379"/>
      <c r="T102" s="380"/>
      <c r="U102" s="379"/>
      <c r="V102" s="383"/>
      <c r="W102" s="374"/>
      <c r="X102" s="375"/>
      <c r="Y102" s="376"/>
      <c r="Z102" s="374"/>
      <c r="AA102" s="374"/>
      <c r="AB102" s="377"/>
      <c r="AC102" s="378"/>
      <c r="AD102" s="379"/>
      <c r="AE102" s="380"/>
      <c r="AF102" s="379"/>
      <c r="AG102" s="381"/>
      <c r="AH102" s="382"/>
      <c r="AI102" s="379"/>
      <c r="AJ102" s="380"/>
      <c r="AK102" s="379"/>
      <c r="AL102" s="383"/>
      <c r="AM102" s="374"/>
      <c r="AN102" s="375"/>
      <c r="AO102" s="376"/>
      <c r="AP102" s="374"/>
      <c r="AQ102" s="374"/>
      <c r="AR102" s="377"/>
      <c r="AS102" s="378"/>
      <c r="AT102" s="379"/>
      <c r="AU102" s="380"/>
      <c r="AV102" s="379"/>
      <c r="AW102" s="381"/>
      <c r="AX102" s="382"/>
      <c r="AY102" s="379"/>
      <c r="AZ102" s="380"/>
      <c r="BA102" s="379"/>
      <c r="BB102" s="383"/>
      <c r="BC102" s="374"/>
      <c r="BD102" s="375"/>
      <c r="BE102" s="376"/>
      <c r="BF102" s="374"/>
      <c r="BG102" s="374"/>
      <c r="BH102" s="377"/>
      <c r="BI102" s="378"/>
      <c r="BJ102" s="379"/>
      <c r="BK102" s="380"/>
      <c r="BL102" s="379"/>
      <c r="BM102" s="381"/>
      <c r="BN102" s="382"/>
      <c r="BO102" s="379"/>
      <c r="BP102" s="380"/>
      <c r="BQ102" s="379"/>
      <c r="BR102" s="383"/>
      <c r="BS102" s="374"/>
      <c r="BT102" s="375"/>
      <c r="BU102" s="376"/>
      <c r="BV102" s="374"/>
      <c r="BW102" s="374"/>
      <c r="BX102" s="377"/>
      <c r="BY102" s="378"/>
      <c r="BZ102" s="379"/>
      <c r="CA102" s="380"/>
      <c r="CB102" s="379"/>
      <c r="CC102" s="381"/>
      <c r="CD102" s="382"/>
      <c r="CE102" s="379"/>
      <c r="CF102" s="380"/>
      <c r="CG102" s="379"/>
      <c r="CH102" s="383"/>
      <c r="CI102" s="374"/>
      <c r="CJ102" s="375"/>
      <c r="CK102" s="376"/>
      <c r="CL102" s="374"/>
      <c r="CM102" s="374"/>
      <c r="CN102" s="377"/>
      <c r="CO102" s="378"/>
      <c r="CP102" s="379"/>
      <c r="CQ102" s="380"/>
      <c r="CR102" s="379"/>
      <c r="CS102" s="381"/>
      <c r="CT102" s="382"/>
      <c r="CU102" s="379"/>
      <c r="CV102" s="380"/>
      <c r="CW102" s="379"/>
      <c r="CX102" s="383"/>
      <c r="CY102" s="374"/>
      <c r="CZ102" s="375"/>
      <c r="DA102" s="376"/>
      <c r="DB102" s="374"/>
      <c r="DC102" s="374"/>
      <c r="DD102" s="377"/>
      <c r="DE102" s="378"/>
      <c r="DF102" s="379"/>
      <c r="DG102" s="380"/>
      <c r="DH102" s="379"/>
      <c r="DI102" s="381"/>
      <c r="DJ102" s="382"/>
      <c r="DK102" s="379"/>
      <c r="DL102" s="380"/>
      <c r="DM102" s="379"/>
      <c r="DN102" s="383"/>
      <c r="DO102" s="374"/>
      <c r="DP102" s="375"/>
      <c r="DQ102" s="376"/>
      <c r="DR102" s="374"/>
      <c r="DS102" s="374"/>
      <c r="DT102" s="377"/>
      <c r="DU102" s="378"/>
      <c r="DV102" s="379"/>
      <c r="DW102" s="380"/>
      <c r="DX102" s="379"/>
      <c r="DY102" s="381"/>
      <c r="DZ102" s="382"/>
      <c r="EA102" s="379"/>
      <c r="EB102" s="380"/>
      <c r="EC102" s="379"/>
      <c r="ED102" s="383"/>
      <c r="EE102" s="374"/>
      <c r="EF102" s="375"/>
      <c r="EG102" s="376"/>
      <c r="EH102" s="374"/>
      <c r="EI102" s="374"/>
      <c r="EJ102" s="377"/>
      <c r="EK102" s="378"/>
      <c r="EL102" s="379"/>
      <c r="EM102" s="380"/>
      <c r="EN102" s="379"/>
      <c r="EO102" s="381"/>
      <c r="EP102" s="382"/>
      <c r="EQ102" s="379"/>
      <c r="ER102" s="380"/>
      <c r="ES102" s="379"/>
      <c r="ET102" s="383"/>
      <c r="EU102" s="374"/>
      <c r="EV102" s="375"/>
      <c r="EW102" s="376"/>
      <c r="EX102" s="374"/>
      <c r="EY102" s="374"/>
      <c r="EZ102" s="377"/>
      <c r="FA102" s="378"/>
      <c r="FB102" s="379"/>
      <c r="FC102" s="380"/>
      <c r="FD102" s="379"/>
      <c r="FE102" s="381"/>
      <c r="FF102" s="382"/>
      <c r="FG102" s="379"/>
      <c r="FH102" s="380"/>
      <c r="FI102" s="379"/>
      <c r="FJ102" s="383"/>
      <c r="FK102" s="374"/>
      <c r="FL102" s="375"/>
      <c r="FM102" s="376"/>
      <c r="FN102" s="374"/>
      <c r="FO102" s="374"/>
      <c r="FP102" s="377"/>
      <c r="FQ102" s="378"/>
      <c r="FR102" s="379"/>
      <c r="FS102" s="380"/>
      <c r="FT102" s="379"/>
      <c r="FU102" s="381"/>
      <c r="FV102" s="382"/>
      <c r="FW102" s="379"/>
      <c r="FX102" s="380"/>
      <c r="FY102" s="379"/>
      <c r="FZ102" s="383"/>
      <c r="GA102" s="374"/>
      <c r="GB102" s="375"/>
      <c r="GC102" s="376"/>
      <c r="GD102" s="374"/>
      <c r="GE102" s="374"/>
      <c r="GF102" s="377"/>
      <c r="GG102" s="378"/>
      <c r="GH102" s="379"/>
      <c r="GI102" s="380"/>
      <c r="GJ102" s="379"/>
      <c r="GK102" s="381"/>
      <c r="GL102" s="382"/>
      <c r="GM102" s="379"/>
      <c r="GN102" s="380"/>
      <c r="GO102" s="379"/>
      <c r="GP102" s="383"/>
      <c r="GQ102" s="374"/>
      <c r="GR102" s="375"/>
      <c r="GS102" s="376"/>
      <c r="GT102" s="374"/>
      <c r="GU102" s="374"/>
      <c r="GV102" s="377"/>
      <c r="GW102" s="378"/>
      <c r="GX102" s="379"/>
      <c r="GY102" s="380"/>
      <c r="GZ102" s="379"/>
      <c r="HA102" s="381"/>
      <c r="HB102" s="382"/>
      <c r="HC102" s="379"/>
      <c r="HD102" s="380"/>
      <c r="HE102" s="379"/>
      <c r="HF102" s="383"/>
      <c r="HG102" s="374"/>
      <c r="HH102" s="375"/>
      <c r="HI102" s="376"/>
      <c r="HJ102" s="374"/>
      <c r="HK102" s="374"/>
      <c r="HL102" s="377"/>
      <c r="HM102" s="378"/>
      <c r="HN102" s="379"/>
      <c r="HO102" s="380"/>
      <c r="HP102" s="379"/>
      <c r="HQ102" s="381"/>
      <c r="HR102" s="382"/>
      <c r="HS102" s="379"/>
      <c r="HT102" s="380"/>
      <c r="HU102" s="379"/>
      <c r="HV102" s="383"/>
      <c r="HW102" s="374"/>
      <c r="HX102" s="375"/>
      <c r="HY102" s="376"/>
      <c r="HZ102" s="374"/>
      <c r="IA102" s="374"/>
      <c r="IB102" s="377"/>
      <c r="IC102" s="378"/>
      <c r="ID102" s="379"/>
      <c r="IE102" s="380"/>
      <c r="IF102" s="379"/>
      <c r="IG102" s="381"/>
      <c r="IH102" s="382"/>
      <c r="II102" s="379"/>
    </row>
    <row r="103" spans="1:243" s="368" customFormat="1" ht="27.95" customHeight="1" x14ac:dyDescent="0.2">
      <c r="A103" s="363">
        <f>'HPBr Checklist'!$R99</f>
        <v>0</v>
      </c>
      <c r="B103" s="364" t="str">
        <f>'HPBr Checklist'!B99</f>
        <v>ID1.1</v>
      </c>
      <c r="C103" s="365" t="str">
        <f>'HPBr Checklist'!D99</f>
        <v>Innovation in Design: Provide Specific Title</v>
      </c>
      <c r="D103" s="366" t="str">
        <f>IF(OR('HPBr Checklist'!C99="Yes",'HPBr Checklist'!C99=""),'HPBr Checklist'!E99,"N/A")</f>
        <v>Priority 1</v>
      </c>
      <c r="E103" s="367" t="str">
        <f>IF(A103=0,"N/A",'HPBr Checklist'!W99)</f>
        <v>N/A</v>
      </c>
    </row>
    <row r="104" spans="1:243" s="368" customFormat="1" ht="27.95" customHeight="1" x14ac:dyDescent="0.2">
      <c r="A104" s="363">
        <f>'HPBr Checklist'!$R100</f>
        <v>0</v>
      </c>
      <c r="B104" s="364" t="str">
        <f>'HPBr Checklist'!B100</f>
        <v>ID1.2</v>
      </c>
      <c r="C104" s="365" t="str">
        <f>'HPBr Checklist'!D100</f>
        <v>Innovation in Design: Provide Specific Title</v>
      </c>
      <c r="D104" s="366" t="str">
        <f>IF(OR('HPBr Checklist'!C100="Yes",'HPBr Checklist'!C100=""),'HPBr Checklist'!E100,"N/A")</f>
        <v>Priority 2</v>
      </c>
      <c r="E104" s="367" t="str">
        <f>IF(A104=0,"N/A",'HPBr Checklist'!W100)</f>
        <v>N/A</v>
      </c>
    </row>
    <row r="105" spans="1:243" s="368" customFormat="1" ht="27.95" customHeight="1" x14ac:dyDescent="0.2">
      <c r="A105" s="363">
        <f>'HPBr Checklist'!$R101</f>
        <v>0</v>
      </c>
      <c r="B105" s="364" t="str">
        <f>'HPBr Checklist'!B101</f>
        <v>ID1.3</v>
      </c>
      <c r="C105" s="365" t="str">
        <f>'HPBr Checklist'!D101</f>
        <v>Innovation in Design: Provide Specific Title</v>
      </c>
      <c r="D105" s="366" t="str">
        <f>IF(OR('HPBr Checklist'!C101="Yes",'HPBr Checklist'!C101=""),'HPBr Checklist'!E101,"N/A")</f>
        <v>Priority 2</v>
      </c>
      <c r="E105" s="367" t="str">
        <f>IF(A105=0,"N/A",'HPBr Checklist'!W101)</f>
        <v>N/A</v>
      </c>
    </row>
    <row r="106" spans="1:243" s="368" customFormat="1" ht="27.95" customHeight="1" x14ac:dyDescent="0.2">
      <c r="A106" s="363">
        <f>'HPBr Checklist'!$R102</f>
        <v>0</v>
      </c>
      <c r="B106" s="364" t="str">
        <f>'HPBr Checklist'!B102</f>
        <v>ID1.4</v>
      </c>
      <c r="C106" s="365" t="str">
        <f>'HPBr Checklist'!D102</f>
        <v>Innovation in Design: Provide Specific Title</v>
      </c>
      <c r="D106" s="366" t="str">
        <f>IF(OR('HPBr Checklist'!C102="Yes",'HPBr Checklist'!C102=""),'HPBr Checklist'!E102,"N/A")</f>
        <v>Priority 2</v>
      </c>
      <c r="E106" s="367" t="str">
        <f>IF(A106=0,"N/A",'HPBr Checklist'!W102)</f>
        <v>N/A</v>
      </c>
    </row>
    <row r="107" spans="1:243" s="368" customFormat="1" ht="27.95" customHeight="1" x14ac:dyDescent="0.2">
      <c r="A107" s="363">
        <f>'HPBr Checklist'!$R103</f>
        <v>0</v>
      </c>
      <c r="B107" s="364" t="str">
        <f>'HPBr Checklist'!B103</f>
        <v>ID2.1</v>
      </c>
      <c r="C107" s="365" t="str">
        <f>'HPBr Checklist'!D103</f>
        <v>Environmentally Accredited Design Team</v>
      </c>
      <c r="D107" s="366" t="str">
        <f>IF(OR('HPBr Checklist'!C103="Yes",'HPBr Checklist'!C103=""),'HPBr Checklist'!E103,"N/A")</f>
        <v>Priority 1</v>
      </c>
      <c r="E107" s="367" t="str">
        <f>IF(A107=0,"N/A",'HPBr Checklist'!W103)</f>
        <v>N/A</v>
      </c>
    </row>
    <row r="108" spans="1:243" x14ac:dyDescent="0.2">
      <c r="A108" s="405"/>
      <c r="B108" s="406"/>
      <c r="C108" s="407"/>
      <c r="D108" s="407"/>
      <c r="E108" s="408"/>
    </row>
    <row r="109" spans="1:243" x14ac:dyDescent="0.2">
      <c r="A109" s="409"/>
      <c r="B109" s="410"/>
      <c r="C109" s="411"/>
      <c r="D109" s="411"/>
      <c r="E109" s="412"/>
    </row>
    <row r="110" spans="1:243" ht="39.950000000000003" customHeight="1" thickBot="1" x14ac:dyDescent="0.25">
      <c r="A110" s="165">
        <f>SUM(A101+A80+A69+A50+A42+A19)</f>
        <v>0</v>
      </c>
      <c r="B110" s="782" t="s">
        <v>131</v>
      </c>
      <c r="C110" s="783"/>
      <c r="D110" s="166"/>
      <c r="E110" s="167"/>
    </row>
    <row r="113" spans="1:1" x14ac:dyDescent="0.2">
      <c r="A113" s="413"/>
    </row>
    <row r="114" spans="1:1" x14ac:dyDescent="0.2">
      <c r="A114" s="413"/>
    </row>
    <row r="115" spans="1:1" x14ac:dyDescent="0.2">
      <c r="A115" s="413"/>
    </row>
    <row r="116" spans="1:1" x14ac:dyDescent="0.2">
      <c r="A116" s="413"/>
    </row>
  </sheetData>
  <sheetProtection selectLockedCells="1" autoFilter="0"/>
  <autoFilter ref="A20:E107"/>
  <mergeCells count="17">
    <mergeCell ref="A2:B2"/>
    <mergeCell ref="A3:B4"/>
    <mergeCell ref="A5:B6"/>
    <mergeCell ref="B110:C110"/>
    <mergeCell ref="C11:D11"/>
    <mergeCell ref="C12:D12"/>
    <mergeCell ref="C13:D13"/>
    <mergeCell ref="C14:D14"/>
    <mergeCell ref="C17:D17"/>
    <mergeCell ref="C15:D15"/>
    <mergeCell ref="C16:D16"/>
    <mergeCell ref="E3:E4"/>
    <mergeCell ref="E5:E6"/>
    <mergeCell ref="C9:D9"/>
    <mergeCell ref="C8:D8"/>
    <mergeCell ref="C10:D10"/>
    <mergeCell ref="C4:D7"/>
  </mergeCells>
  <phoneticPr fontId="37" type="noConversion"/>
  <conditionalFormatting sqref="A21:E41">
    <cfRule type="expression" dxfId="35" priority="37">
      <formula>$D21="N/A"</formula>
    </cfRule>
  </conditionalFormatting>
  <conditionalFormatting sqref="C44:C49">
    <cfRule type="expression" dxfId="34" priority="30">
      <formula>$D44="N/A"</formula>
    </cfRule>
  </conditionalFormatting>
  <conditionalFormatting sqref="B44:B49">
    <cfRule type="expression" dxfId="33" priority="29">
      <formula>$D44="N/A"</formula>
    </cfRule>
  </conditionalFormatting>
  <conditionalFormatting sqref="A44:A49">
    <cfRule type="expression" dxfId="32" priority="28">
      <formula>$D44="N/A"</formula>
    </cfRule>
  </conditionalFormatting>
  <conditionalFormatting sqref="D44:D49">
    <cfRule type="expression" dxfId="31" priority="27">
      <formula>$D44="N/A"</formula>
    </cfRule>
  </conditionalFormatting>
  <conditionalFormatting sqref="E44:E49">
    <cfRule type="expression" dxfId="30" priority="26">
      <formula>$D44="N/A"</formula>
    </cfRule>
  </conditionalFormatting>
  <conditionalFormatting sqref="A52:A68">
    <cfRule type="expression" dxfId="29" priority="25">
      <formula>$D52="N/A"</formula>
    </cfRule>
  </conditionalFormatting>
  <conditionalFormatting sqref="B52:B68">
    <cfRule type="expression" dxfId="28" priority="24">
      <formula>$D52="N/A"</formula>
    </cfRule>
  </conditionalFormatting>
  <conditionalFormatting sqref="C52:C68">
    <cfRule type="expression" dxfId="27" priority="23">
      <formula>$D52="N/A"</formula>
    </cfRule>
  </conditionalFormatting>
  <conditionalFormatting sqref="D52:D68">
    <cfRule type="expression" dxfId="26" priority="22">
      <formula>$D52="N/A"</formula>
    </cfRule>
  </conditionalFormatting>
  <conditionalFormatting sqref="E52:E68">
    <cfRule type="expression" dxfId="25" priority="21">
      <formula>$D52="N/A"</formula>
    </cfRule>
  </conditionalFormatting>
  <conditionalFormatting sqref="A71:A79">
    <cfRule type="expression" dxfId="24" priority="20">
      <formula>$D71="N/A"</formula>
    </cfRule>
  </conditionalFormatting>
  <conditionalFormatting sqref="B71:B79">
    <cfRule type="expression" dxfId="23" priority="19">
      <formula>$D71="N/A"</formula>
    </cfRule>
  </conditionalFormatting>
  <conditionalFormatting sqref="C71:C79">
    <cfRule type="expression" dxfId="22" priority="18">
      <formula>$D71="N/A"</formula>
    </cfRule>
  </conditionalFormatting>
  <conditionalFormatting sqref="D71:D79">
    <cfRule type="expression" dxfId="21" priority="17">
      <formula>$D71="N/A"</formula>
    </cfRule>
  </conditionalFormatting>
  <conditionalFormatting sqref="E71:E79">
    <cfRule type="expression" dxfId="20" priority="16">
      <formula>$D71="N/A"</formula>
    </cfRule>
  </conditionalFormatting>
  <conditionalFormatting sqref="A82:A100">
    <cfRule type="expression" dxfId="19" priority="15">
      <formula>$D82="N/A"</formula>
    </cfRule>
  </conditionalFormatting>
  <conditionalFormatting sqref="B82:B100">
    <cfRule type="expression" dxfId="18" priority="14">
      <formula>$D82="N/A"</formula>
    </cfRule>
  </conditionalFormatting>
  <conditionalFormatting sqref="C82:C100">
    <cfRule type="expression" dxfId="17" priority="13">
      <formula>$D82="N/A"</formula>
    </cfRule>
  </conditionalFormatting>
  <conditionalFormatting sqref="D82:D100">
    <cfRule type="expression" dxfId="16" priority="12">
      <formula>$D82="N/A"</formula>
    </cfRule>
  </conditionalFormatting>
  <conditionalFormatting sqref="E82:E100">
    <cfRule type="expression" dxfId="15" priority="11">
      <formula>$D82="N/A"</formula>
    </cfRule>
  </conditionalFormatting>
  <conditionalFormatting sqref="A103:A107">
    <cfRule type="expression" dxfId="14" priority="10">
      <formula>$D103="N/A"</formula>
    </cfRule>
  </conditionalFormatting>
  <conditionalFormatting sqref="B103">
    <cfRule type="expression" dxfId="13" priority="9">
      <formula>$D103="N/A"</formula>
    </cfRule>
  </conditionalFormatting>
  <conditionalFormatting sqref="C103">
    <cfRule type="expression" dxfId="12" priority="8">
      <formula>$D103="N/A"</formula>
    </cfRule>
  </conditionalFormatting>
  <conditionalFormatting sqref="D103">
    <cfRule type="expression" dxfId="11" priority="7">
      <formula>$D103="N/A"</formula>
    </cfRule>
  </conditionalFormatting>
  <conditionalFormatting sqref="E103">
    <cfRule type="expression" dxfId="10" priority="6">
      <formula>$D103="N/A"</formula>
    </cfRule>
  </conditionalFormatting>
  <conditionalFormatting sqref="B104:B107">
    <cfRule type="expression" dxfId="9" priority="4">
      <formula>$D104="N/A"</formula>
    </cfRule>
  </conditionalFormatting>
  <conditionalFormatting sqref="C104:C107">
    <cfRule type="expression" dxfId="8" priority="3">
      <formula>$D104="N/A"</formula>
    </cfRule>
  </conditionalFormatting>
  <conditionalFormatting sqref="D104:D107">
    <cfRule type="expression" dxfId="7" priority="2">
      <formula>$D104="N/A"</formula>
    </cfRule>
  </conditionalFormatting>
  <conditionalFormatting sqref="E104:E107">
    <cfRule type="expression" dxfId="6" priority="1">
      <formula>$D104="N/A"</formula>
    </cfRule>
  </conditionalFormatting>
  <printOptions horizontalCentered="1"/>
  <pageMargins left="0.7" right="0.7" top="0.75" bottom="0.75" header="0.3" footer="0.3"/>
  <pageSetup scale="62" fitToHeight="3" orientation="portrait" r:id="rId1"/>
  <headerFooter alignWithMargins="0">
    <oddHeader>&amp;CState of Tennessee HPBr - Revised May 18, 2018</oddHeader>
    <oddFooter>&amp;CState of Tennessee HPBr 5/18/18&amp;RPage &amp;P of &amp;N</oddFooter>
  </headerFooter>
  <rowBreaks count="3" manualBreakCount="3">
    <brk id="41" max="4" man="1"/>
    <brk id="68" max="16383" man="1"/>
    <brk id="100" max="4" man="1"/>
  </rowBreaks>
  <colBreaks count="1" manualBreakCount="1">
    <brk id="5" max="108"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fitToPage="1"/>
  </sheetPr>
  <dimension ref="A1:J41"/>
  <sheetViews>
    <sheetView showGridLines="0" zoomScale="85" zoomScaleNormal="85" zoomScaleSheetLayoutView="100" zoomScalePageLayoutView="55" workbookViewId="0">
      <selection activeCell="C5" sqref="C5:H5"/>
    </sheetView>
  </sheetViews>
  <sheetFormatPr defaultColWidth="9.140625" defaultRowHeight="12.75" x14ac:dyDescent="0.2"/>
  <cols>
    <col min="1" max="1" width="30.140625" style="13" customWidth="1"/>
    <col min="2" max="2" width="4" style="13" customWidth="1"/>
    <col min="3" max="3" width="13.140625" style="13" customWidth="1"/>
    <col min="4" max="4" width="13.5703125" style="13" customWidth="1"/>
    <col min="5" max="5" width="14.42578125" style="13" customWidth="1"/>
    <col min="6" max="6" width="14.7109375" style="13" customWidth="1"/>
    <col min="7" max="7" width="22.42578125" style="352" customWidth="1"/>
    <col min="8" max="8" width="20" style="352" customWidth="1"/>
    <col min="9" max="9" width="0" style="13" hidden="1" customWidth="1"/>
    <col min="10" max="10" width="11.5703125" style="13" hidden="1" customWidth="1"/>
    <col min="11" max="16384" width="9.140625" style="13"/>
  </cols>
  <sheetData>
    <row r="1" spans="1:8" ht="26.25" x14ac:dyDescent="0.2">
      <c r="A1" s="791" t="s">
        <v>341</v>
      </c>
      <c r="B1" s="791"/>
      <c r="C1" s="791"/>
      <c r="D1" s="791"/>
      <c r="E1" s="791"/>
      <c r="F1" s="105"/>
      <c r="G1" s="105"/>
      <c r="H1" s="105"/>
    </row>
    <row r="2" spans="1:8" ht="26.25" x14ac:dyDescent="0.2">
      <c r="A2" s="791" t="s">
        <v>141</v>
      </c>
      <c r="B2" s="791"/>
      <c r="C2" s="791"/>
      <c r="D2" s="791"/>
      <c r="E2" s="791"/>
      <c r="F2" s="791"/>
      <c r="G2" s="791"/>
      <c r="H2" s="105"/>
    </row>
    <row r="3" spans="1:8" ht="18" customHeight="1" x14ac:dyDescent="0.2">
      <c r="A3" s="792" t="s">
        <v>328</v>
      </c>
      <c r="B3" s="792"/>
      <c r="C3" s="792"/>
      <c r="D3" s="792"/>
      <c r="E3" s="792"/>
      <c r="F3" s="792"/>
      <c r="G3" s="792"/>
      <c r="H3" s="792"/>
    </row>
    <row r="4" spans="1:8" ht="18" customHeight="1" x14ac:dyDescent="0.2">
      <c r="A4" s="792"/>
      <c r="B4" s="792"/>
      <c r="C4" s="793"/>
      <c r="D4" s="793"/>
      <c r="E4" s="793"/>
      <c r="F4" s="793"/>
      <c r="G4" s="793"/>
      <c r="H4" s="793"/>
    </row>
    <row r="5" spans="1:8" ht="12.75" customHeight="1" x14ac:dyDescent="0.2">
      <c r="A5" s="784" t="s">
        <v>285</v>
      </c>
      <c r="B5" s="784"/>
      <c r="C5" s="787"/>
      <c r="D5" s="787"/>
      <c r="E5" s="787"/>
      <c r="F5" s="787"/>
      <c r="G5" s="787"/>
      <c r="H5" s="788"/>
    </row>
    <row r="6" spans="1:8" ht="12.75" customHeight="1" x14ac:dyDescent="0.2">
      <c r="A6" s="784" t="s">
        <v>283</v>
      </c>
      <c r="B6" s="784"/>
      <c r="C6" s="787"/>
      <c r="D6" s="787"/>
      <c r="E6" s="787"/>
      <c r="F6" s="787"/>
      <c r="G6" s="787"/>
      <c r="H6" s="788"/>
    </row>
    <row r="7" spans="1:8" x14ac:dyDescent="0.2">
      <c r="A7" s="784" t="s">
        <v>118</v>
      </c>
      <c r="B7" s="784"/>
      <c r="C7" s="787"/>
      <c r="D7" s="787"/>
      <c r="E7" s="787"/>
      <c r="F7" s="787"/>
      <c r="G7" s="787"/>
      <c r="H7" s="788"/>
    </row>
    <row r="8" spans="1:8" ht="12.75" customHeight="1" x14ac:dyDescent="0.2">
      <c r="A8" s="784" t="s">
        <v>284</v>
      </c>
      <c r="B8" s="784"/>
      <c r="C8" s="787"/>
      <c r="D8" s="787"/>
      <c r="E8" s="787"/>
      <c r="F8" s="787"/>
      <c r="G8" s="787"/>
      <c r="H8" s="788"/>
    </row>
    <row r="9" spans="1:8" ht="12.75" customHeight="1" x14ac:dyDescent="0.2">
      <c r="A9" s="784" t="s">
        <v>117</v>
      </c>
      <c r="B9" s="784"/>
      <c r="C9" s="787"/>
      <c r="D9" s="787"/>
      <c r="E9" s="787"/>
      <c r="F9" s="787"/>
      <c r="G9" s="787"/>
      <c r="H9" s="788"/>
    </row>
    <row r="10" spans="1:8" ht="15" customHeight="1" x14ac:dyDescent="0.2">
      <c r="A10" s="789" t="s">
        <v>288</v>
      </c>
      <c r="B10" s="789"/>
      <c r="C10" s="790"/>
      <c r="D10" s="790"/>
      <c r="E10" s="790"/>
      <c r="F10" s="790"/>
      <c r="G10" s="790"/>
      <c r="H10" s="790"/>
    </row>
    <row r="11" spans="1:8" ht="15" customHeight="1" x14ac:dyDescent="0.2">
      <c r="A11" s="789"/>
      <c r="B11" s="789"/>
      <c r="C11" s="790"/>
      <c r="D11" s="790"/>
      <c r="E11" s="790"/>
      <c r="F11" s="790"/>
      <c r="G11" s="790"/>
      <c r="H11" s="790"/>
    </row>
    <row r="12" spans="1:8" ht="15" customHeight="1" x14ac:dyDescent="0.2">
      <c r="A12" s="789"/>
      <c r="B12" s="789"/>
      <c r="C12" s="790"/>
      <c r="D12" s="790"/>
      <c r="E12" s="790"/>
      <c r="F12" s="790"/>
      <c r="G12" s="790"/>
      <c r="H12" s="790"/>
    </row>
    <row r="13" spans="1:8" ht="42" customHeight="1" x14ac:dyDescent="0.2">
      <c r="A13" s="785" t="s">
        <v>335</v>
      </c>
      <c r="B13" s="786"/>
      <c r="C13" s="427"/>
      <c r="D13" s="417"/>
      <c r="E13" s="418"/>
      <c r="F13" s="418"/>
      <c r="G13" s="418"/>
      <c r="H13" s="419"/>
    </row>
    <row r="14" spans="1:8" ht="12.75" customHeight="1" x14ac:dyDescent="0.2">
      <c r="A14" s="420"/>
      <c r="B14" s="421"/>
      <c r="C14" s="422"/>
      <c r="D14" s="422"/>
      <c r="E14" s="422"/>
      <c r="F14" s="422"/>
      <c r="G14" s="422"/>
      <c r="H14" s="423"/>
    </row>
    <row r="15" spans="1:8" ht="22.5" customHeight="1" x14ac:dyDescent="0.2">
      <c r="A15" s="794" t="s">
        <v>329</v>
      </c>
      <c r="B15" s="794"/>
      <c r="C15" s="805" t="s">
        <v>344</v>
      </c>
      <c r="D15" s="805"/>
      <c r="E15" s="805"/>
      <c r="F15" s="805"/>
      <c r="G15" s="805"/>
      <c r="H15" s="805"/>
    </row>
    <row r="16" spans="1:8" ht="22.5" customHeight="1" x14ac:dyDescent="0.2">
      <c r="A16" s="794"/>
      <c r="B16" s="794"/>
      <c r="C16" s="805"/>
      <c r="D16" s="805"/>
      <c r="E16" s="805"/>
      <c r="F16" s="805"/>
      <c r="G16" s="805"/>
      <c r="H16" s="805"/>
    </row>
    <row r="17" spans="1:10" ht="22.5" customHeight="1" x14ac:dyDescent="0.2">
      <c r="A17" s="794"/>
      <c r="B17" s="794"/>
      <c r="C17" s="805"/>
      <c r="D17" s="805"/>
      <c r="E17" s="805"/>
      <c r="F17" s="805"/>
      <c r="G17" s="805"/>
      <c r="H17" s="805"/>
    </row>
    <row r="18" spans="1:10" ht="22.5" customHeight="1" x14ac:dyDescent="0.2">
      <c r="A18" s="794"/>
      <c r="B18" s="794"/>
      <c r="C18" s="805"/>
      <c r="D18" s="805"/>
      <c r="E18" s="805"/>
      <c r="F18" s="805"/>
      <c r="G18" s="805"/>
      <c r="H18" s="805"/>
    </row>
    <row r="19" spans="1:10" ht="25.5" customHeight="1" x14ac:dyDescent="0.2">
      <c r="A19" s="814"/>
      <c r="B19" s="815"/>
      <c r="C19" s="816" t="s">
        <v>331</v>
      </c>
      <c r="D19" s="817"/>
      <c r="E19" s="817"/>
      <c r="F19" s="817"/>
      <c r="G19" s="817"/>
      <c r="H19" s="818"/>
      <c r="I19" s="295" t="s">
        <v>264</v>
      </c>
    </row>
    <row r="20" spans="1:10" ht="39" customHeight="1" x14ac:dyDescent="0.2">
      <c r="A20" s="812" t="s">
        <v>286</v>
      </c>
      <c r="B20" s="424">
        <v>1</v>
      </c>
      <c r="C20" s="819"/>
      <c r="D20" s="820"/>
      <c r="E20" s="820"/>
      <c r="F20" s="820"/>
      <c r="G20" s="820"/>
      <c r="H20" s="821"/>
      <c r="I20" s="13" t="str">
        <f>IFERROR(VLOOKUP(C20,'Credit Lookup'!$C$2:$D$78,2,FALSE),"")</f>
        <v/>
      </c>
      <c r="J20" s="13">
        <f>IF(I20="O",1,IF(OR(I20="A",I20="CE",I20="EE",I20="ME",I20="LE",I20="Other"),2,IF(I20="C",3,0)))</f>
        <v>0</v>
      </c>
    </row>
    <row r="21" spans="1:10" ht="39" customHeight="1" x14ac:dyDescent="0.2">
      <c r="A21" s="789"/>
      <c r="B21" s="425">
        <v>2</v>
      </c>
      <c r="C21" s="819"/>
      <c r="D21" s="820"/>
      <c r="E21" s="820"/>
      <c r="F21" s="820"/>
      <c r="G21" s="820"/>
      <c r="H21" s="821"/>
      <c r="I21" s="13" t="str">
        <f>IFERROR(VLOOKUP(C21,'Credit Lookup'!$C$2:$D$78,2,FALSE),"")</f>
        <v/>
      </c>
      <c r="J21" s="13">
        <f t="shared" ref="J21:J24" si="0">IF(I21="O",1,IF(OR(I21="A",I21="CE",I21="EE",I21="ME",I21="LE",I21="Other"),2,IF(I21="C",3,0)))</f>
        <v>0</v>
      </c>
    </row>
    <row r="22" spans="1:10" ht="39" customHeight="1" x14ac:dyDescent="0.2">
      <c r="A22" s="789"/>
      <c r="B22" s="425">
        <v>3</v>
      </c>
      <c r="C22" s="819"/>
      <c r="D22" s="820"/>
      <c r="E22" s="820"/>
      <c r="F22" s="820"/>
      <c r="G22" s="820"/>
      <c r="H22" s="821"/>
      <c r="I22" s="13" t="str">
        <f>IFERROR(VLOOKUP(C22,'Credit Lookup'!$C$2:$D$78,2,FALSE),"")</f>
        <v/>
      </c>
      <c r="J22" s="13">
        <f t="shared" si="0"/>
        <v>0</v>
      </c>
    </row>
    <row r="23" spans="1:10" ht="39" customHeight="1" x14ac:dyDescent="0.2">
      <c r="A23" s="789"/>
      <c r="B23" s="425">
        <v>4</v>
      </c>
      <c r="C23" s="819"/>
      <c r="D23" s="820"/>
      <c r="E23" s="820"/>
      <c r="F23" s="820"/>
      <c r="G23" s="820"/>
      <c r="H23" s="821"/>
      <c r="I23" s="13" t="str">
        <f>IFERROR(VLOOKUP(C23,'Credit Lookup'!$C$2:$D$78,2,FALSE),"")</f>
        <v/>
      </c>
      <c r="J23" s="13">
        <f t="shared" si="0"/>
        <v>0</v>
      </c>
    </row>
    <row r="24" spans="1:10" ht="39" customHeight="1" x14ac:dyDescent="0.2">
      <c r="A24" s="813"/>
      <c r="B24" s="426">
        <v>5</v>
      </c>
      <c r="C24" s="819"/>
      <c r="D24" s="820"/>
      <c r="E24" s="820"/>
      <c r="F24" s="820"/>
      <c r="G24" s="820"/>
      <c r="H24" s="821"/>
      <c r="I24" s="13" t="str">
        <f>IFERROR(VLOOKUP(C24,'Credit Lookup'!$C$2:$D$78,2,FALSE),"")</f>
        <v/>
      </c>
      <c r="J24" s="13">
        <f t="shared" si="0"/>
        <v>0</v>
      </c>
    </row>
    <row r="25" spans="1:10" ht="12.75" customHeight="1" x14ac:dyDescent="0.2">
      <c r="A25" s="420"/>
      <c r="B25" s="421"/>
      <c r="C25" s="422"/>
      <c r="D25" s="422"/>
      <c r="E25" s="422"/>
      <c r="F25" s="422"/>
      <c r="G25" s="422"/>
      <c r="H25" s="423"/>
    </row>
    <row r="26" spans="1:10" ht="12.75" customHeight="1" x14ac:dyDescent="0.2">
      <c r="A26" s="822" t="s">
        <v>330</v>
      </c>
      <c r="B26" s="822"/>
      <c r="C26" s="823" t="s">
        <v>345</v>
      </c>
      <c r="D26" s="823"/>
      <c r="E26" s="823"/>
      <c r="F26" s="823"/>
      <c r="G26" s="823"/>
      <c r="H26" s="824"/>
    </row>
    <row r="27" spans="1:10" ht="12.75" customHeight="1" x14ac:dyDescent="0.2">
      <c r="A27" s="794"/>
      <c r="B27" s="794"/>
      <c r="C27" s="823"/>
      <c r="D27" s="823"/>
      <c r="E27" s="823"/>
      <c r="F27" s="823"/>
      <c r="G27" s="823"/>
      <c r="H27" s="824"/>
    </row>
    <row r="28" spans="1:10" ht="12.75" customHeight="1" x14ac:dyDescent="0.2">
      <c r="A28" s="794"/>
      <c r="B28" s="794"/>
      <c r="C28" s="823"/>
      <c r="D28" s="823"/>
      <c r="E28" s="823"/>
      <c r="F28" s="823"/>
      <c r="G28" s="823"/>
      <c r="H28" s="824"/>
    </row>
    <row r="29" spans="1:10" ht="12.75" customHeight="1" x14ac:dyDescent="0.2">
      <c r="A29" s="794"/>
      <c r="B29" s="794"/>
      <c r="C29" s="825"/>
      <c r="D29" s="825"/>
      <c r="E29" s="825"/>
      <c r="F29" s="825"/>
      <c r="G29" s="825"/>
      <c r="H29" s="826"/>
    </row>
    <row r="30" spans="1:10" ht="12.75" customHeight="1" x14ac:dyDescent="0.2">
      <c r="A30" s="420"/>
      <c r="B30" s="421"/>
      <c r="C30" s="422"/>
      <c r="D30" s="422"/>
      <c r="E30" s="422"/>
      <c r="F30" s="422"/>
      <c r="G30" s="422"/>
      <c r="H30" s="423"/>
    </row>
    <row r="31" spans="1:10" ht="26.25" customHeight="1" x14ac:dyDescent="0.2">
      <c r="A31" s="827" t="s">
        <v>339</v>
      </c>
      <c r="B31" s="828"/>
      <c r="C31" s="829"/>
      <c r="D31" s="830"/>
      <c r="E31" s="830"/>
      <c r="F31" s="830"/>
      <c r="G31" s="830"/>
      <c r="H31" s="831"/>
    </row>
    <row r="32" spans="1:10" ht="14.25" customHeight="1" x14ac:dyDescent="0.2">
      <c r="A32" s="795" t="s">
        <v>332</v>
      </c>
      <c r="B32" s="796"/>
      <c r="C32" s="799"/>
      <c r="D32" s="800"/>
      <c r="E32" s="801"/>
      <c r="F32" s="806" t="s">
        <v>118</v>
      </c>
      <c r="G32" s="808"/>
      <c r="H32" s="809"/>
      <c r="J32" s="528" t="str">
        <f>IF(OR(J20=1,J21=1,J22=1,J23=1,J24=1),"True","True")</f>
        <v>True</v>
      </c>
    </row>
    <row r="33" spans="1:10" ht="14.25" customHeight="1" x14ac:dyDescent="0.2">
      <c r="A33" s="797"/>
      <c r="B33" s="798"/>
      <c r="C33" s="802"/>
      <c r="D33" s="803"/>
      <c r="E33" s="804"/>
      <c r="F33" s="807"/>
      <c r="G33" s="810"/>
      <c r="H33" s="811"/>
      <c r="J33" s="528"/>
    </row>
    <row r="34" spans="1:10" ht="15" customHeight="1" x14ac:dyDescent="0.2">
      <c r="A34" s="795" t="s">
        <v>334</v>
      </c>
      <c r="B34" s="832"/>
      <c r="C34" s="799"/>
      <c r="D34" s="800"/>
      <c r="E34" s="801"/>
      <c r="F34" s="806" t="s">
        <v>118</v>
      </c>
      <c r="G34" s="808"/>
      <c r="H34" s="809"/>
      <c r="J34" s="528" t="str">
        <f>IF(OR(J20=2,J21=2,J22=2,J23=2,J24=2),"True","False")</f>
        <v>False</v>
      </c>
    </row>
    <row r="35" spans="1:10" ht="15" customHeight="1" x14ac:dyDescent="0.2">
      <c r="A35" s="833"/>
      <c r="B35" s="834"/>
      <c r="C35" s="802"/>
      <c r="D35" s="803"/>
      <c r="E35" s="804"/>
      <c r="F35" s="807"/>
      <c r="G35" s="810"/>
      <c r="H35" s="811"/>
      <c r="J35" s="528"/>
    </row>
    <row r="36" spans="1:10" ht="14.25" customHeight="1" x14ac:dyDescent="0.2">
      <c r="A36" s="795" t="s">
        <v>333</v>
      </c>
      <c r="B36" s="832"/>
      <c r="C36" s="799"/>
      <c r="D36" s="800"/>
      <c r="E36" s="801"/>
      <c r="F36" s="806" t="s">
        <v>118</v>
      </c>
      <c r="G36" s="808"/>
      <c r="H36" s="809"/>
      <c r="J36" s="528" t="str">
        <f>IF(OR(J20=3,J21=3,J22=3,J23=3,J24=3),"True","False")</f>
        <v>False</v>
      </c>
    </row>
    <row r="37" spans="1:10" ht="14.25" customHeight="1" x14ac:dyDescent="0.2">
      <c r="A37" s="833"/>
      <c r="B37" s="834"/>
      <c r="C37" s="802"/>
      <c r="D37" s="803"/>
      <c r="E37" s="804"/>
      <c r="F37" s="807"/>
      <c r="G37" s="810"/>
      <c r="H37" s="811"/>
      <c r="J37" s="528"/>
    </row>
    <row r="38" spans="1:10" x14ac:dyDescent="0.2">
      <c r="A38" s="413"/>
      <c r="B38" s="413"/>
      <c r="C38" s="413"/>
      <c r="D38" s="413"/>
      <c r="E38" s="413"/>
    </row>
    <row r="39" spans="1:10" x14ac:dyDescent="0.2">
      <c r="A39" s="413"/>
      <c r="B39" s="413"/>
      <c r="C39" s="413"/>
      <c r="D39" s="413"/>
      <c r="E39" s="413"/>
    </row>
    <row r="40" spans="1:10" x14ac:dyDescent="0.2">
      <c r="A40" s="413"/>
      <c r="B40" s="413"/>
      <c r="C40" s="413"/>
      <c r="D40" s="413"/>
      <c r="E40" s="413"/>
    </row>
    <row r="41" spans="1:10" x14ac:dyDescent="0.2">
      <c r="A41" s="413"/>
      <c r="B41" s="413"/>
      <c r="C41" s="413"/>
      <c r="D41" s="413"/>
      <c r="E41" s="413"/>
    </row>
  </sheetData>
  <sheetProtection algorithmName="SHA-512" hashValue="TNKQ8j+dpSBH/hHE10jQ+T152YWBZqFb4Q3+WhNpNM/ytEOGAufNvEtPOZTCFp1YIpXNTSnfY2YWOSXHPlpE5w==" saltValue="6zea405K9sG63a9fpp9u4g==" spinCount="100000" sheet="1" objects="1" scenarios="1" selectLockedCells="1"/>
  <mergeCells count="42">
    <mergeCell ref="C31:H31"/>
    <mergeCell ref="C20:H20"/>
    <mergeCell ref="A36:B37"/>
    <mergeCell ref="C36:E37"/>
    <mergeCell ref="F36:F37"/>
    <mergeCell ref="G36:H37"/>
    <mergeCell ref="A34:B35"/>
    <mergeCell ref="C34:E35"/>
    <mergeCell ref="F34:F35"/>
    <mergeCell ref="G34:H35"/>
    <mergeCell ref="A15:B18"/>
    <mergeCell ref="A32:B33"/>
    <mergeCell ref="C32:E33"/>
    <mergeCell ref="C15:H18"/>
    <mergeCell ref="F32:F33"/>
    <mergeCell ref="G32:H33"/>
    <mergeCell ref="A20:A24"/>
    <mergeCell ref="A19:B19"/>
    <mergeCell ref="C19:H19"/>
    <mergeCell ref="C24:H24"/>
    <mergeCell ref="C23:H23"/>
    <mergeCell ref="C22:H22"/>
    <mergeCell ref="C21:H21"/>
    <mergeCell ref="A26:B29"/>
    <mergeCell ref="C26:H29"/>
    <mergeCell ref="A31:B31"/>
    <mergeCell ref="A1:E1"/>
    <mergeCell ref="A5:B5"/>
    <mergeCell ref="A6:B6"/>
    <mergeCell ref="A7:B7"/>
    <mergeCell ref="A8:B8"/>
    <mergeCell ref="A2:G2"/>
    <mergeCell ref="A3:H4"/>
    <mergeCell ref="C5:H5"/>
    <mergeCell ref="A9:B9"/>
    <mergeCell ref="A13:B13"/>
    <mergeCell ref="C6:H6"/>
    <mergeCell ref="C7:H7"/>
    <mergeCell ref="C8:H8"/>
    <mergeCell ref="C9:H9"/>
    <mergeCell ref="A10:B12"/>
    <mergeCell ref="C10:H12"/>
  </mergeCells>
  <conditionalFormatting sqref="A34:B35">
    <cfRule type="expression" dxfId="5" priority="6">
      <formula>$J$34="False"</formula>
    </cfRule>
  </conditionalFormatting>
  <conditionalFormatting sqref="F34:F35">
    <cfRule type="expression" dxfId="4" priority="5">
      <formula>$J$34="False"</formula>
    </cfRule>
  </conditionalFormatting>
  <conditionalFormatting sqref="F32:F33">
    <cfRule type="expression" dxfId="3" priority="4">
      <formula>$J$32="False"</formula>
    </cfRule>
  </conditionalFormatting>
  <conditionalFormatting sqref="A32">
    <cfRule type="expression" dxfId="2" priority="3">
      <formula>$J$32="False"</formula>
    </cfRule>
  </conditionalFormatting>
  <conditionalFormatting sqref="A36:B37">
    <cfRule type="expression" dxfId="1" priority="2">
      <formula>$J$36="False"</formula>
    </cfRule>
  </conditionalFormatting>
  <conditionalFormatting sqref="F36:F37">
    <cfRule type="expression" dxfId="0" priority="1">
      <formula>$J$36="False"</formula>
    </cfRule>
  </conditionalFormatting>
  <dataValidations count="1">
    <dataValidation type="list" allowBlank="1" showInputMessage="1" showErrorMessage="1" sqref="C20:C24">
      <formula1>CreditID_Description</formula1>
    </dataValidation>
  </dataValidations>
  <printOptions horizontalCentered="1"/>
  <pageMargins left="0.7" right="0.7" top="0.75" bottom="0.75" header="0.3" footer="0.3"/>
  <pageSetup scale="69" orientation="portrait" r:id="rId1"/>
  <headerFooter alignWithMargins="0">
    <oddFooter>&amp;CState of Tennessee HPBr 5/18/18&amp;RPage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7030A0"/>
    <pageSetUpPr fitToPage="1"/>
  </sheetPr>
  <dimension ref="A1:AN53"/>
  <sheetViews>
    <sheetView topLeftCell="A10" zoomScale="85" zoomScaleNormal="85" zoomScaleSheetLayoutView="90" zoomScalePageLayoutView="70" workbookViewId="0">
      <selection activeCell="I13" sqref="I13"/>
    </sheetView>
  </sheetViews>
  <sheetFormatPr defaultColWidth="9.140625" defaultRowHeight="12.75" x14ac:dyDescent="0.2"/>
  <cols>
    <col min="1" max="1" width="7.28515625" style="4" bestFit="1" customWidth="1"/>
    <col min="2" max="2" width="42.42578125" style="4" customWidth="1"/>
    <col min="3" max="3" width="13.85546875" style="4" customWidth="1"/>
    <col min="4" max="4" width="11.85546875" style="4" customWidth="1"/>
    <col min="5" max="5" width="11.42578125" style="4" customWidth="1"/>
    <col min="6" max="6" width="11.5703125" style="4" customWidth="1"/>
    <col min="7" max="7" width="12" style="4" customWidth="1"/>
    <col min="8" max="8" width="9.28515625" style="4" customWidth="1"/>
    <col min="9" max="9" width="11.140625" style="4" customWidth="1"/>
    <col min="10" max="10" width="12.42578125" style="4" customWidth="1"/>
    <col min="11" max="11" width="12.140625" style="4" customWidth="1"/>
    <col min="12" max="12" width="11.7109375" style="4" customWidth="1"/>
    <col min="13" max="13" width="10.7109375" style="4" customWidth="1"/>
    <col min="14" max="14" width="10.7109375" style="237" customWidth="1"/>
    <col min="15" max="16" width="9.140625" style="4"/>
    <col min="17" max="17" width="10.7109375" style="4" bestFit="1" customWidth="1"/>
    <col min="18" max="16384" width="9.140625" style="4"/>
  </cols>
  <sheetData>
    <row r="1" spans="1:40" s="1" customFormat="1" ht="20.100000000000001" customHeight="1" x14ac:dyDescent="0.2">
      <c r="A1" s="874" t="s">
        <v>15</v>
      </c>
      <c r="B1" s="874"/>
      <c r="C1" s="874"/>
      <c r="D1" s="874"/>
      <c r="E1" s="874"/>
      <c r="F1" s="874"/>
      <c r="G1" s="875"/>
      <c r="H1" s="876"/>
      <c r="I1" s="876"/>
      <c r="J1" s="876"/>
      <c r="K1" s="876"/>
      <c r="L1" s="851"/>
      <c r="M1" s="851"/>
      <c r="N1" s="238"/>
    </row>
    <row r="2" spans="1:40" s="1" customFormat="1" ht="20.100000000000001" customHeight="1" x14ac:dyDescent="0.2">
      <c r="A2" s="877" t="s">
        <v>130</v>
      </c>
      <c r="B2" s="877"/>
      <c r="C2" s="877"/>
      <c r="D2" s="2"/>
      <c r="E2" s="2"/>
      <c r="F2" s="2"/>
      <c r="G2" s="3"/>
      <c r="H2" s="2"/>
      <c r="I2" s="2"/>
      <c r="J2" s="2"/>
      <c r="K2" s="2"/>
      <c r="L2" s="3"/>
      <c r="M2" s="3"/>
      <c r="N2" s="3"/>
    </row>
    <row r="3" spans="1:40" s="1" customFormat="1" ht="25.5" customHeight="1" x14ac:dyDescent="0.2">
      <c r="A3" s="878" t="s">
        <v>13</v>
      </c>
      <c r="B3" s="878"/>
      <c r="C3" s="2"/>
      <c r="D3" s="2"/>
      <c r="E3" s="2"/>
      <c r="F3" s="2"/>
      <c r="G3" s="3"/>
      <c r="H3" s="2"/>
      <c r="I3" s="2"/>
      <c r="J3" s="2"/>
      <c r="K3" s="2"/>
      <c r="L3" s="3"/>
      <c r="M3" s="3"/>
      <c r="N3" s="3"/>
    </row>
    <row r="4" spans="1:40" s="1" customFormat="1" ht="20.100000000000001" customHeight="1" x14ac:dyDescent="0.2">
      <c r="A4" s="879" t="s">
        <v>360</v>
      </c>
      <c r="B4" s="879"/>
      <c r="C4" s="879"/>
      <c r="D4" s="879"/>
      <c r="E4" s="879"/>
      <c r="F4" s="879"/>
      <c r="G4" s="879"/>
      <c r="H4" s="879"/>
      <c r="I4" s="879"/>
      <c r="J4" s="879"/>
      <c r="K4" s="879"/>
      <c r="L4" s="879"/>
      <c r="M4" s="879"/>
      <c r="N4" s="241"/>
    </row>
    <row r="5" spans="1:40" ht="9.9499999999999993" customHeight="1" x14ac:dyDescent="0.2">
      <c r="A5" s="850"/>
      <c r="B5" s="850"/>
      <c r="C5" s="850"/>
      <c r="D5" s="850"/>
      <c r="E5" s="850"/>
      <c r="F5" s="850"/>
      <c r="G5" s="851"/>
      <c r="H5" s="850"/>
      <c r="I5" s="851"/>
      <c r="J5" s="851"/>
      <c r="K5" s="851"/>
      <c r="L5" s="851"/>
      <c r="M5" s="851"/>
      <c r="N5" s="238"/>
    </row>
    <row r="6" spans="1:40" s="59" customFormat="1" ht="20.100000000000001" customHeight="1" x14ac:dyDescent="0.2">
      <c r="A6" s="853" t="s">
        <v>16</v>
      </c>
      <c r="B6" s="853"/>
      <c r="C6" s="853"/>
      <c r="D6" s="853"/>
      <c r="E6" s="853"/>
      <c r="F6" s="853"/>
      <c r="G6" s="851"/>
      <c r="H6" s="853"/>
      <c r="I6" s="853"/>
      <c r="J6" s="853"/>
      <c r="K6" s="853"/>
      <c r="L6" s="853"/>
      <c r="M6" s="853"/>
      <c r="N6" s="239"/>
    </row>
    <row r="7" spans="1:40" ht="14.25" customHeight="1" x14ac:dyDescent="0.2">
      <c r="A7" s="219"/>
      <c r="B7" s="219"/>
      <c r="C7" s="219"/>
      <c r="D7" s="219"/>
      <c r="E7" s="219"/>
      <c r="F7" s="219"/>
      <c r="G7" s="220"/>
      <c r="H7" s="854"/>
      <c r="I7" s="855"/>
      <c r="J7" s="855"/>
      <c r="K7" s="220"/>
      <c r="L7" s="854"/>
      <c r="M7" s="856"/>
      <c r="N7" s="240"/>
      <c r="O7" s="5"/>
      <c r="P7" s="5"/>
      <c r="Q7" s="5"/>
      <c r="R7" s="5"/>
      <c r="S7" s="5"/>
      <c r="T7" s="5"/>
      <c r="U7" s="5"/>
      <c r="V7" s="5"/>
      <c r="W7" s="5"/>
      <c r="X7" s="5"/>
      <c r="Y7" s="5"/>
      <c r="Z7" s="5"/>
      <c r="AA7" s="5"/>
      <c r="AB7" s="5"/>
      <c r="AC7" s="5"/>
      <c r="AD7" s="5"/>
      <c r="AE7" s="5"/>
      <c r="AF7" s="5"/>
      <c r="AG7" s="5"/>
      <c r="AH7" s="5"/>
      <c r="AI7" s="5"/>
      <c r="AJ7" s="5"/>
      <c r="AK7" s="5"/>
      <c r="AL7" s="5"/>
      <c r="AM7" s="5"/>
      <c r="AN7" s="5"/>
    </row>
    <row r="8" spans="1:40" ht="24.95" customHeight="1" x14ac:dyDescent="0.2">
      <c r="A8" s="857" t="s">
        <v>17</v>
      </c>
      <c r="B8" s="858"/>
      <c r="C8" s="862" t="s">
        <v>18</v>
      </c>
      <c r="D8" s="868" t="s">
        <v>19</v>
      </c>
      <c r="E8" s="868" t="s">
        <v>20</v>
      </c>
      <c r="F8" s="871" t="s">
        <v>21</v>
      </c>
      <c r="G8" s="865" t="s">
        <v>384</v>
      </c>
      <c r="H8" s="839" t="s">
        <v>382</v>
      </c>
      <c r="I8" s="840"/>
      <c r="J8" s="841"/>
      <c r="K8" s="865" t="s">
        <v>385</v>
      </c>
      <c r="L8" s="839" t="s">
        <v>383</v>
      </c>
      <c r="M8" s="840"/>
      <c r="N8" s="847" t="s">
        <v>290</v>
      </c>
      <c r="O8" s="848"/>
      <c r="P8" s="848"/>
      <c r="Q8" s="848"/>
      <c r="R8" s="848"/>
      <c r="S8" s="848"/>
      <c r="T8" s="849"/>
      <c r="U8" s="277"/>
      <c r="V8" s="277"/>
      <c r="W8" s="5"/>
      <c r="X8" s="5"/>
      <c r="Y8" s="5"/>
      <c r="Z8" s="5"/>
      <c r="AA8" s="5"/>
      <c r="AB8" s="5"/>
      <c r="AC8" s="5"/>
      <c r="AD8" s="5"/>
      <c r="AE8" s="5"/>
      <c r="AF8" s="5"/>
      <c r="AG8" s="5"/>
      <c r="AH8" s="5"/>
      <c r="AI8" s="5"/>
      <c r="AJ8" s="5"/>
      <c r="AK8" s="5"/>
      <c r="AL8" s="5"/>
      <c r="AM8" s="5"/>
      <c r="AN8" s="5"/>
    </row>
    <row r="9" spans="1:40" s="237" customFormat="1" ht="24.95" customHeight="1" x14ac:dyDescent="0.2">
      <c r="A9" s="859"/>
      <c r="B9" s="860"/>
      <c r="C9" s="863"/>
      <c r="D9" s="869"/>
      <c r="E9" s="869"/>
      <c r="F9" s="872"/>
      <c r="G9" s="866"/>
      <c r="H9" s="842"/>
      <c r="I9" s="843"/>
      <c r="J9" s="844"/>
      <c r="K9" s="866"/>
      <c r="L9" s="845"/>
      <c r="M9" s="846"/>
      <c r="N9" s="836" t="s">
        <v>386</v>
      </c>
      <c r="O9" s="837"/>
      <c r="P9" s="837"/>
      <c r="Q9" s="838"/>
      <c r="R9" s="836" t="s">
        <v>387</v>
      </c>
      <c r="S9" s="837"/>
      <c r="T9" s="838"/>
      <c r="U9" s="5"/>
      <c r="V9" s="5"/>
      <c r="W9" s="5"/>
      <c r="X9" s="5"/>
      <c r="Y9" s="5"/>
      <c r="Z9" s="5"/>
      <c r="AA9" s="5"/>
      <c r="AB9" s="5"/>
      <c r="AC9" s="5"/>
      <c r="AD9" s="5"/>
      <c r="AE9" s="5"/>
      <c r="AF9" s="5"/>
      <c r="AG9" s="5"/>
      <c r="AH9" s="5"/>
      <c r="AI9" s="5"/>
      <c r="AJ9" s="5"/>
      <c r="AK9" s="5"/>
      <c r="AL9" s="5"/>
      <c r="AM9" s="5"/>
      <c r="AN9" s="5"/>
    </row>
    <row r="10" spans="1:40" ht="50.25" customHeight="1" x14ac:dyDescent="0.2">
      <c r="A10" s="861"/>
      <c r="B10" s="860"/>
      <c r="C10" s="864"/>
      <c r="D10" s="870"/>
      <c r="E10" s="870"/>
      <c r="F10" s="873"/>
      <c r="G10" s="867"/>
      <c r="H10" s="194" t="s">
        <v>22</v>
      </c>
      <c r="I10" s="60" t="s">
        <v>23</v>
      </c>
      <c r="J10" s="61" t="s">
        <v>359</v>
      </c>
      <c r="K10" s="867"/>
      <c r="L10" s="207" t="s">
        <v>289</v>
      </c>
      <c r="M10" s="208" t="s">
        <v>24</v>
      </c>
      <c r="N10" s="274" t="s">
        <v>381</v>
      </c>
      <c r="O10" s="260" t="s">
        <v>291</v>
      </c>
      <c r="P10" s="209" t="s">
        <v>292</v>
      </c>
      <c r="Q10" s="212" t="s">
        <v>24</v>
      </c>
      <c r="R10" s="207" t="s">
        <v>291</v>
      </c>
      <c r="S10" s="209" t="s">
        <v>292</v>
      </c>
      <c r="T10" s="212" t="s">
        <v>24</v>
      </c>
      <c r="U10" s="5"/>
      <c r="V10" s="5"/>
      <c r="W10" s="5"/>
      <c r="X10" s="5"/>
      <c r="Y10" s="5"/>
      <c r="Z10" s="5"/>
      <c r="AA10" s="5"/>
      <c r="AB10" s="5"/>
      <c r="AC10" s="5"/>
      <c r="AD10" s="5"/>
      <c r="AE10" s="5"/>
      <c r="AF10" s="5"/>
      <c r="AG10" s="5"/>
      <c r="AH10" s="5"/>
      <c r="AI10" s="5"/>
      <c r="AJ10" s="5"/>
      <c r="AK10" s="5"/>
      <c r="AL10" s="5"/>
      <c r="AM10" s="5"/>
      <c r="AN10" s="5"/>
    </row>
    <row r="11" spans="1:40" s="6" customFormat="1" ht="22.5" x14ac:dyDescent="0.2">
      <c r="A11" s="62"/>
      <c r="B11" s="63"/>
      <c r="C11" s="213" t="s">
        <v>25</v>
      </c>
      <c r="D11" s="214" t="s">
        <v>25</v>
      </c>
      <c r="E11" s="214" t="s">
        <v>25</v>
      </c>
      <c r="F11" s="215" t="s">
        <v>25</v>
      </c>
      <c r="G11" s="216" t="s">
        <v>25</v>
      </c>
      <c r="H11" s="217" t="s">
        <v>358</v>
      </c>
      <c r="I11" s="218" t="s">
        <v>358</v>
      </c>
      <c r="J11" s="196" t="s">
        <v>25</v>
      </c>
      <c r="K11" s="216" t="s">
        <v>25</v>
      </c>
      <c r="L11" s="210" t="s">
        <v>26</v>
      </c>
      <c r="M11" s="195" t="s">
        <v>25</v>
      </c>
      <c r="N11" s="275" t="s">
        <v>26</v>
      </c>
      <c r="O11" s="211" t="s">
        <v>26</v>
      </c>
      <c r="P11" s="211" t="s">
        <v>26</v>
      </c>
      <c r="Q11" s="195" t="s">
        <v>25</v>
      </c>
      <c r="R11" s="210" t="s">
        <v>26</v>
      </c>
      <c r="S11" s="211" t="s">
        <v>26</v>
      </c>
      <c r="T11" s="195" t="s">
        <v>25</v>
      </c>
      <c r="U11" s="5"/>
      <c r="V11" s="5"/>
      <c r="W11" s="5"/>
      <c r="X11" s="5"/>
      <c r="Y11" s="5"/>
      <c r="Z11" s="5"/>
      <c r="AA11" s="5"/>
      <c r="AB11" s="5"/>
      <c r="AC11" s="5"/>
      <c r="AD11" s="5"/>
      <c r="AE11" s="5"/>
      <c r="AF11" s="5"/>
      <c r="AG11" s="5"/>
      <c r="AH11" s="5"/>
      <c r="AI11" s="5"/>
      <c r="AJ11" s="5"/>
      <c r="AK11" s="5"/>
      <c r="AL11" s="5"/>
      <c r="AM11" s="5"/>
      <c r="AN11" s="5"/>
    </row>
    <row r="12" spans="1:40" ht="12" customHeight="1" x14ac:dyDescent="0.2">
      <c r="A12" s="64" t="s">
        <v>27</v>
      </c>
      <c r="B12" s="65"/>
      <c r="C12" s="66"/>
      <c r="D12" s="67"/>
      <c r="E12" s="67"/>
      <c r="F12" s="65"/>
      <c r="G12" s="64"/>
      <c r="H12" s="66"/>
      <c r="I12" s="67"/>
      <c r="J12" s="65"/>
      <c r="K12" s="64"/>
      <c r="L12" s="197"/>
      <c r="M12" s="198"/>
      <c r="N12" s="268"/>
      <c r="O12" s="199"/>
      <c r="P12" s="199"/>
      <c r="Q12" s="198"/>
      <c r="R12" s="197"/>
      <c r="S12" s="199"/>
      <c r="T12" s="198"/>
      <c r="U12" s="5"/>
      <c r="V12" s="5"/>
      <c r="W12" s="5"/>
      <c r="X12" s="5"/>
      <c r="Y12" s="5"/>
      <c r="Z12" s="5"/>
      <c r="AA12" s="5"/>
      <c r="AB12" s="5"/>
      <c r="AC12" s="5"/>
      <c r="AD12" s="5"/>
      <c r="AE12" s="5"/>
      <c r="AF12" s="5"/>
      <c r="AG12" s="5"/>
      <c r="AH12" s="5"/>
      <c r="AI12" s="5"/>
      <c r="AJ12" s="5"/>
      <c r="AK12" s="5"/>
      <c r="AL12" s="5"/>
      <c r="AM12" s="5"/>
      <c r="AN12" s="5"/>
    </row>
    <row r="13" spans="1:40" s="7" customFormat="1" x14ac:dyDescent="0.2">
      <c r="A13" s="68" t="s">
        <v>28</v>
      </c>
      <c r="B13" s="69" t="s">
        <v>29</v>
      </c>
      <c r="C13" s="70"/>
      <c r="D13" s="69"/>
      <c r="E13" s="69"/>
      <c r="F13" s="71">
        <f>C13-D13-E13</f>
        <v>0</v>
      </c>
      <c r="G13" s="72">
        <v>0</v>
      </c>
      <c r="H13" s="229"/>
      <c r="I13" s="230"/>
      <c r="J13" s="71">
        <f>(H13*F13)+0.5*(I13*F13)</f>
        <v>0</v>
      </c>
      <c r="K13" s="232"/>
      <c r="L13" s="231"/>
      <c r="M13" s="203">
        <f>L13*F13</f>
        <v>0</v>
      </c>
      <c r="N13" s="276"/>
      <c r="O13" s="261"/>
      <c r="P13" s="233"/>
      <c r="Q13" s="256">
        <f>N13*((O13*F13)+0.5*(P13*F13))</f>
        <v>0</v>
      </c>
      <c r="R13" s="231"/>
      <c r="S13" s="233"/>
      <c r="T13" s="256">
        <f>(1-N13)*((R13*F13)+0.5*(S13*F13))</f>
        <v>0</v>
      </c>
    </row>
    <row r="14" spans="1:40" s="8" customFormat="1" ht="12" customHeight="1" x14ac:dyDescent="0.2">
      <c r="A14" s="73"/>
      <c r="B14" s="74"/>
      <c r="C14" s="75"/>
      <c r="D14" s="76"/>
      <c r="E14" s="76"/>
      <c r="F14" s="77"/>
      <c r="G14" s="78"/>
      <c r="H14" s="79"/>
      <c r="I14" s="80"/>
      <c r="J14" s="77"/>
      <c r="K14" s="78"/>
      <c r="L14" s="242"/>
      <c r="M14" s="200"/>
      <c r="N14" s="269"/>
      <c r="O14" s="262"/>
      <c r="P14" s="247"/>
      <c r="Q14" s="200"/>
      <c r="R14" s="242"/>
      <c r="S14" s="247"/>
      <c r="T14" s="200"/>
    </row>
    <row r="15" spans="1:40" s="8" customFormat="1" ht="12" customHeight="1" x14ac:dyDescent="0.2">
      <c r="A15" s="73"/>
      <c r="B15" s="74"/>
      <c r="C15" s="75"/>
      <c r="D15" s="76"/>
      <c r="E15" s="76"/>
      <c r="F15" s="77"/>
      <c r="G15" s="78"/>
      <c r="H15" s="79"/>
      <c r="I15" s="80"/>
      <c r="J15" s="77"/>
      <c r="K15" s="78"/>
      <c r="L15" s="242"/>
      <c r="M15" s="200"/>
      <c r="N15" s="269"/>
      <c r="O15" s="262"/>
      <c r="P15" s="247"/>
      <c r="Q15" s="200"/>
      <c r="R15" s="242"/>
      <c r="S15" s="247"/>
      <c r="T15" s="200"/>
    </row>
    <row r="16" spans="1:40" s="8" customFormat="1" ht="12" customHeight="1" x14ac:dyDescent="0.2">
      <c r="A16" s="81"/>
      <c r="B16" s="82"/>
      <c r="C16" s="83"/>
      <c r="D16" s="84"/>
      <c r="E16" s="84"/>
      <c r="F16" s="85"/>
      <c r="G16" s="86"/>
      <c r="H16" s="87"/>
      <c r="I16" s="88"/>
      <c r="J16" s="85"/>
      <c r="K16" s="86"/>
      <c r="L16" s="243"/>
      <c r="M16" s="201"/>
      <c r="N16" s="270"/>
      <c r="O16" s="263"/>
      <c r="P16" s="248"/>
      <c r="Q16" s="201"/>
      <c r="R16" s="243"/>
      <c r="S16" s="248"/>
      <c r="T16" s="201"/>
    </row>
    <row r="17" spans="1:20" s="7" customFormat="1" x14ac:dyDescent="0.2">
      <c r="A17" s="68" t="s">
        <v>30</v>
      </c>
      <c r="B17" s="69" t="s">
        <v>31</v>
      </c>
      <c r="C17" s="70"/>
      <c r="D17" s="69"/>
      <c r="E17" s="69"/>
      <c r="F17" s="71">
        <f>C17-D17-E17</f>
        <v>0</v>
      </c>
      <c r="G17" s="72"/>
      <c r="H17" s="229"/>
      <c r="I17" s="230"/>
      <c r="J17" s="71">
        <f>(H17*F17)+0.5*(I17*F17)</f>
        <v>0</v>
      </c>
      <c r="K17" s="72"/>
      <c r="L17" s="244"/>
      <c r="M17" s="203">
        <f>L17*F17</f>
        <v>0</v>
      </c>
      <c r="N17" s="514"/>
      <c r="O17" s="264"/>
      <c r="P17" s="249"/>
      <c r="Q17" s="256">
        <f>N17*((O17*F17)+0.5*(P17*F17))</f>
        <v>0</v>
      </c>
      <c r="R17" s="244"/>
      <c r="S17" s="249"/>
      <c r="T17" s="256">
        <f>(1-N17)*((R17*F17)+0.5*(S17*F17))</f>
        <v>0</v>
      </c>
    </row>
    <row r="18" spans="1:20" s="8" customFormat="1" ht="12" customHeight="1" x14ac:dyDescent="0.2">
      <c r="A18" s="73"/>
      <c r="B18" s="74"/>
      <c r="C18" s="75"/>
      <c r="D18" s="76"/>
      <c r="E18" s="76"/>
      <c r="F18" s="77"/>
      <c r="G18" s="78"/>
      <c r="H18" s="79"/>
      <c r="I18" s="80"/>
      <c r="J18" s="77"/>
      <c r="K18" s="78"/>
      <c r="L18" s="242"/>
      <c r="M18" s="200"/>
      <c r="N18" s="269"/>
      <c r="O18" s="262"/>
      <c r="P18" s="247"/>
      <c r="Q18" s="200"/>
      <c r="R18" s="242"/>
      <c r="S18" s="247"/>
      <c r="T18" s="200"/>
    </row>
    <row r="19" spans="1:20" s="8" customFormat="1" ht="12" customHeight="1" x14ac:dyDescent="0.2">
      <c r="A19" s="73"/>
      <c r="B19" s="74"/>
      <c r="C19" s="75"/>
      <c r="D19" s="76"/>
      <c r="E19" s="76"/>
      <c r="F19" s="77"/>
      <c r="G19" s="78"/>
      <c r="H19" s="79"/>
      <c r="I19" s="80"/>
      <c r="J19" s="77"/>
      <c r="K19" s="78"/>
      <c r="L19" s="242"/>
      <c r="M19" s="200"/>
      <c r="N19" s="269"/>
      <c r="O19" s="262"/>
      <c r="P19" s="247"/>
      <c r="Q19" s="200"/>
      <c r="R19" s="242"/>
      <c r="S19" s="247"/>
      <c r="T19" s="200"/>
    </row>
    <row r="20" spans="1:20" s="8" customFormat="1" ht="12" customHeight="1" x14ac:dyDescent="0.2">
      <c r="A20" s="81"/>
      <c r="B20" s="82"/>
      <c r="C20" s="83"/>
      <c r="D20" s="84"/>
      <c r="E20" s="84"/>
      <c r="F20" s="85"/>
      <c r="G20" s="86"/>
      <c r="H20" s="87"/>
      <c r="I20" s="88"/>
      <c r="J20" s="85"/>
      <c r="K20" s="86"/>
      <c r="L20" s="245"/>
      <c r="M20" s="202"/>
      <c r="N20" s="271"/>
      <c r="O20" s="265"/>
      <c r="P20" s="250"/>
      <c r="Q20" s="202"/>
      <c r="R20" s="245"/>
      <c r="S20" s="250"/>
      <c r="T20" s="202"/>
    </row>
    <row r="21" spans="1:20" s="7" customFormat="1" x14ac:dyDescent="0.2">
      <c r="A21" s="68" t="s">
        <v>32</v>
      </c>
      <c r="B21" s="69" t="s">
        <v>33</v>
      </c>
      <c r="C21" s="70"/>
      <c r="D21" s="69"/>
      <c r="E21" s="69"/>
      <c r="F21" s="71">
        <f>C21-D21-E21</f>
        <v>0</v>
      </c>
      <c r="G21" s="72"/>
      <c r="H21" s="229"/>
      <c r="I21" s="230"/>
      <c r="J21" s="71">
        <f>(H21*F21)+0.5*(I21*F21)</f>
        <v>0</v>
      </c>
      <c r="K21" s="72"/>
      <c r="L21" s="231"/>
      <c r="M21" s="203">
        <f>L21*F21</f>
        <v>0</v>
      </c>
      <c r="N21" s="276"/>
      <c r="O21" s="261"/>
      <c r="P21" s="233"/>
      <c r="Q21" s="256">
        <f>N21*((O21*F21)+0.5*(P21*F21))</f>
        <v>0</v>
      </c>
      <c r="R21" s="231"/>
      <c r="S21" s="233"/>
      <c r="T21" s="256">
        <f>(1-N21)*((R21*F21)+0.5*(S21*F21))</f>
        <v>0</v>
      </c>
    </row>
    <row r="22" spans="1:20" s="7" customFormat="1" x14ac:dyDescent="0.2">
      <c r="A22" s="89"/>
      <c r="B22" s="90"/>
      <c r="C22" s="91"/>
      <c r="D22" s="90"/>
      <c r="E22" s="90"/>
      <c r="F22" s="92"/>
      <c r="G22" s="93"/>
      <c r="H22" s="253"/>
      <c r="I22" s="252"/>
      <c r="J22" s="92"/>
      <c r="K22" s="93"/>
      <c r="L22" s="246"/>
      <c r="M22" s="204"/>
      <c r="N22" s="272"/>
      <c r="O22" s="266"/>
      <c r="P22" s="251"/>
      <c r="Q22" s="204"/>
      <c r="R22" s="246"/>
      <c r="S22" s="251"/>
      <c r="T22" s="204"/>
    </row>
    <row r="23" spans="1:20" s="7" customFormat="1" x14ac:dyDescent="0.2">
      <c r="A23" s="89"/>
      <c r="B23" s="90"/>
      <c r="C23" s="91"/>
      <c r="D23" s="90"/>
      <c r="E23" s="90"/>
      <c r="F23" s="92"/>
      <c r="G23" s="93"/>
      <c r="H23" s="253"/>
      <c r="I23" s="252"/>
      <c r="J23" s="92"/>
      <c r="K23" s="93"/>
      <c r="L23" s="246"/>
      <c r="M23" s="204"/>
      <c r="N23" s="272"/>
      <c r="O23" s="266"/>
      <c r="P23" s="251"/>
      <c r="Q23" s="204"/>
      <c r="R23" s="246"/>
      <c r="S23" s="251"/>
      <c r="T23" s="204"/>
    </row>
    <row r="24" spans="1:20" s="8" customFormat="1" ht="12" customHeight="1" x14ac:dyDescent="0.2">
      <c r="A24" s="81"/>
      <c r="B24" s="82"/>
      <c r="C24" s="83"/>
      <c r="D24" s="84"/>
      <c r="E24" s="84"/>
      <c r="F24" s="85"/>
      <c r="G24" s="86"/>
      <c r="H24" s="87"/>
      <c r="I24" s="88"/>
      <c r="J24" s="85"/>
      <c r="K24" s="86"/>
      <c r="L24" s="243"/>
      <c r="M24" s="201"/>
      <c r="N24" s="270"/>
      <c r="O24" s="263"/>
      <c r="P24" s="248"/>
      <c r="Q24" s="201"/>
      <c r="R24" s="243"/>
      <c r="S24" s="248"/>
      <c r="T24" s="201"/>
    </row>
    <row r="25" spans="1:20" s="7" customFormat="1" x14ac:dyDescent="0.2">
      <c r="A25" s="68" t="s">
        <v>34</v>
      </c>
      <c r="B25" s="69" t="s">
        <v>35</v>
      </c>
      <c r="C25" s="70"/>
      <c r="D25" s="69"/>
      <c r="E25" s="69"/>
      <c r="F25" s="71">
        <f>C25-D25-E25</f>
        <v>0</v>
      </c>
      <c r="G25" s="72"/>
      <c r="H25" s="229"/>
      <c r="I25" s="230"/>
      <c r="J25" s="71">
        <f>(H25*F25)+0.5*(I25*F25)</f>
        <v>0</v>
      </c>
      <c r="K25" s="72"/>
      <c r="L25" s="244"/>
      <c r="M25" s="203">
        <f>L25*F25</f>
        <v>0</v>
      </c>
      <c r="N25" s="514"/>
      <c r="O25" s="264"/>
      <c r="P25" s="249"/>
      <c r="Q25" s="256">
        <f>N25*((O25*F25)+0.5*(P25*F25))</f>
        <v>0</v>
      </c>
      <c r="R25" s="244"/>
      <c r="S25" s="249"/>
      <c r="T25" s="256">
        <f>(1-N25)*((R25*F25)+0.5*(S25*F25))</f>
        <v>0</v>
      </c>
    </row>
    <row r="26" spans="1:20" s="8" customFormat="1" ht="12" customHeight="1" x14ac:dyDescent="0.2">
      <c r="A26" s="73"/>
      <c r="B26" s="74"/>
      <c r="C26" s="75"/>
      <c r="D26" s="76"/>
      <c r="E26" s="76"/>
      <c r="F26" s="77"/>
      <c r="G26" s="78"/>
      <c r="H26" s="79"/>
      <c r="I26" s="80"/>
      <c r="J26" s="77"/>
      <c r="K26" s="78"/>
      <c r="L26" s="242"/>
      <c r="M26" s="200"/>
      <c r="N26" s="269"/>
      <c r="O26" s="262"/>
      <c r="P26" s="247"/>
      <c r="Q26" s="200"/>
      <c r="R26" s="242"/>
      <c r="S26" s="247"/>
      <c r="T26" s="200"/>
    </row>
    <row r="27" spans="1:20" s="8" customFormat="1" ht="12" customHeight="1" x14ac:dyDescent="0.2">
      <c r="A27" s="73"/>
      <c r="B27" s="74"/>
      <c r="C27" s="75"/>
      <c r="D27" s="76"/>
      <c r="E27" s="76"/>
      <c r="F27" s="77"/>
      <c r="G27" s="78"/>
      <c r="H27" s="79"/>
      <c r="I27" s="80"/>
      <c r="J27" s="77"/>
      <c r="K27" s="78"/>
      <c r="L27" s="242"/>
      <c r="M27" s="200"/>
      <c r="N27" s="269"/>
      <c r="O27" s="262"/>
      <c r="P27" s="247"/>
      <c r="Q27" s="200"/>
      <c r="R27" s="242"/>
      <c r="S27" s="247"/>
      <c r="T27" s="200"/>
    </row>
    <row r="28" spans="1:20" s="8" customFormat="1" ht="12" customHeight="1" x14ac:dyDescent="0.2">
      <c r="A28" s="81"/>
      <c r="B28" s="82"/>
      <c r="C28" s="83"/>
      <c r="D28" s="84"/>
      <c r="E28" s="84"/>
      <c r="F28" s="85"/>
      <c r="G28" s="86"/>
      <c r="H28" s="87"/>
      <c r="I28" s="88"/>
      <c r="J28" s="85"/>
      <c r="K28" s="86"/>
      <c r="L28" s="245"/>
      <c r="M28" s="202"/>
      <c r="N28" s="271"/>
      <c r="O28" s="265"/>
      <c r="P28" s="250"/>
      <c r="Q28" s="202"/>
      <c r="R28" s="245"/>
      <c r="S28" s="250"/>
      <c r="T28" s="202"/>
    </row>
    <row r="29" spans="1:20" s="7" customFormat="1" x14ac:dyDescent="0.2">
      <c r="A29" s="68" t="s">
        <v>36</v>
      </c>
      <c r="B29" s="69" t="s">
        <v>37</v>
      </c>
      <c r="C29" s="70"/>
      <c r="D29" s="69"/>
      <c r="E29" s="69"/>
      <c r="F29" s="71">
        <f>C29-D29-E29</f>
        <v>0</v>
      </c>
      <c r="G29" s="72"/>
      <c r="H29" s="229"/>
      <c r="I29" s="230"/>
      <c r="J29" s="71">
        <f>(H29*F29)+0.5*(I29*F29)</f>
        <v>0</v>
      </c>
      <c r="K29" s="72"/>
      <c r="L29" s="231"/>
      <c r="M29" s="203">
        <f>L29*F29</f>
        <v>0</v>
      </c>
      <c r="N29" s="276"/>
      <c r="O29" s="261"/>
      <c r="P29" s="233"/>
      <c r="Q29" s="256">
        <f>N29*((O29*F29)+0.5*(P29*F29))</f>
        <v>0</v>
      </c>
      <c r="R29" s="231"/>
      <c r="S29" s="233"/>
      <c r="T29" s="256">
        <f>(1-N29)*((R29*F29)+0.5*(S29*F29))</f>
        <v>0</v>
      </c>
    </row>
    <row r="30" spans="1:20" s="8" customFormat="1" ht="12" customHeight="1" x14ac:dyDescent="0.2">
      <c r="A30" s="73"/>
      <c r="B30" s="74"/>
      <c r="C30" s="75"/>
      <c r="D30" s="76"/>
      <c r="E30" s="76"/>
      <c r="F30" s="77"/>
      <c r="G30" s="78"/>
      <c r="H30" s="79"/>
      <c r="I30" s="80"/>
      <c r="J30" s="77"/>
      <c r="K30" s="78"/>
      <c r="L30" s="242"/>
      <c r="M30" s="200"/>
      <c r="N30" s="269"/>
      <c r="O30" s="262"/>
      <c r="P30" s="247"/>
      <c r="Q30" s="200"/>
      <c r="R30" s="242"/>
      <c r="S30" s="247"/>
      <c r="T30" s="200"/>
    </row>
    <row r="31" spans="1:20" s="8" customFormat="1" ht="12" customHeight="1" x14ac:dyDescent="0.2">
      <c r="A31" s="73"/>
      <c r="B31" s="74"/>
      <c r="C31" s="75"/>
      <c r="D31" s="76"/>
      <c r="E31" s="76"/>
      <c r="F31" s="77"/>
      <c r="G31" s="78"/>
      <c r="H31" s="79"/>
      <c r="I31" s="80"/>
      <c r="J31" s="77"/>
      <c r="K31" s="78"/>
      <c r="L31" s="242"/>
      <c r="M31" s="200"/>
      <c r="N31" s="269"/>
      <c r="O31" s="262"/>
      <c r="P31" s="247"/>
      <c r="Q31" s="200"/>
      <c r="R31" s="242"/>
      <c r="S31" s="247"/>
      <c r="T31" s="200"/>
    </row>
    <row r="32" spans="1:20" s="8" customFormat="1" ht="12" customHeight="1" x14ac:dyDescent="0.2">
      <c r="A32" s="81"/>
      <c r="B32" s="82"/>
      <c r="C32" s="83"/>
      <c r="D32" s="84"/>
      <c r="E32" s="84"/>
      <c r="F32" s="85"/>
      <c r="G32" s="86"/>
      <c r="H32" s="87"/>
      <c r="I32" s="88"/>
      <c r="J32" s="85"/>
      <c r="K32" s="86"/>
      <c r="L32" s="243"/>
      <c r="M32" s="201"/>
      <c r="N32" s="270"/>
      <c r="O32" s="263"/>
      <c r="P32" s="248"/>
      <c r="Q32" s="201"/>
      <c r="R32" s="243"/>
      <c r="S32" s="248"/>
      <c r="T32" s="201"/>
    </row>
    <row r="33" spans="1:20" s="7" customFormat="1" x14ac:dyDescent="0.2">
      <c r="A33" s="68" t="s">
        <v>38</v>
      </c>
      <c r="B33" s="69" t="s">
        <v>39</v>
      </c>
      <c r="C33" s="70"/>
      <c r="D33" s="69"/>
      <c r="E33" s="69"/>
      <c r="F33" s="71">
        <f>C33-D33-E33</f>
        <v>0</v>
      </c>
      <c r="G33" s="72"/>
      <c r="H33" s="229"/>
      <c r="I33" s="230"/>
      <c r="J33" s="71">
        <f>(H33*F33)+0.5*(I33*F33)</f>
        <v>0</v>
      </c>
      <c r="K33" s="72"/>
      <c r="L33" s="231"/>
      <c r="M33" s="203">
        <f>L33*F33</f>
        <v>0</v>
      </c>
      <c r="N33" s="276"/>
      <c r="O33" s="261"/>
      <c r="P33" s="233"/>
      <c r="Q33" s="256">
        <f>N33*((O33*F33)+0.5*(P33*F33))</f>
        <v>0</v>
      </c>
      <c r="R33" s="231"/>
      <c r="S33" s="233"/>
      <c r="T33" s="256">
        <f>(1-N33)*((R33*F33)+0.5*(S33*F33))</f>
        <v>0</v>
      </c>
    </row>
    <row r="34" spans="1:20" s="8" customFormat="1" ht="12" customHeight="1" x14ac:dyDescent="0.2">
      <c r="A34" s="73"/>
      <c r="B34" s="74"/>
      <c r="C34" s="75"/>
      <c r="D34" s="76"/>
      <c r="E34" s="76"/>
      <c r="F34" s="77"/>
      <c r="G34" s="78"/>
      <c r="H34" s="79"/>
      <c r="I34" s="80"/>
      <c r="J34" s="77"/>
      <c r="K34" s="78"/>
      <c r="L34" s="242"/>
      <c r="M34" s="200"/>
      <c r="N34" s="269"/>
      <c r="O34" s="262"/>
      <c r="P34" s="247"/>
      <c r="Q34" s="200"/>
      <c r="R34" s="242"/>
      <c r="S34" s="247"/>
      <c r="T34" s="200"/>
    </row>
    <row r="35" spans="1:20" s="8" customFormat="1" ht="12" customHeight="1" x14ac:dyDescent="0.2">
      <c r="A35" s="73"/>
      <c r="B35" s="74"/>
      <c r="C35" s="75"/>
      <c r="D35" s="76"/>
      <c r="E35" s="76"/>
      <c r="F35" s="77"/>
      <c r="G35" s="78"/>
      <c r="H35" s="79"/>
      <c r="I35" s="80"/>
      <c r="J35" s="77"/>
      <c r="K35" s="78"/>
      <c r="L35" s="242"/>
      <c r="M35" s="200"/>
      <c r="N35" s="269"/>
      <c r="O35" s="262"/>
      <c r="P35" s="247"/>
      <c r="Q35" s="200"/>
      <c r="R35" s="242"/>
      <c r="S35" s="247"/>
      <c r="T35" s="200"/>
    </row>
    <row r="36" spans="1:20" s="8" customFormat="1" ht="12" customHeight="1" x14ac:dyDescent="0.2">
      <c r="A36" s="81"/>
      <c r="B36" s="82"/>
      <c r="C36" s="83"/>
      <c r="D36" s="84"/>
      <c r="E36" s="84"/>
      <c r="F36" s="85"/>
      <c r="G36" s="86"/>
      <c r="H36" s="87"/>
      <c r="I36" s="88"/>
      <c r="J36" s="85"/>
      <c r="K36" s="86"/>
      <c r="L36" s="243"/>
      <c r="M36" s="201"/>
      <c r="N36" s="270"/>
      <c r="O36" s="263"/>
      <c r="P36" s="248"/>
      <c r="Q36" s="201"/>
      <c r="R36" s="243"/>
      <c r="S36" s="248"/>
      <c r="T36" s="201"/>
    </row>
    <row r="37" spans="1:20" s="7" customFormat="1" x14ac:dyDescent="0.2">
      <c r="A37" s="68" t="s">
        <v>40</v>
      </c>
      <c r="B37" s="69" t="s">
        <v>41</v>
      </c>
      <c r="C37" s="70"/>
      <c r="D37" s="69"/>
      <c r="E37" s="69"/>
      <c r="F37" s="71">
        <f>C37-D37-E37</f>
        <v>0</v>
      </c>
      <c r="G37" s="72"/>
      <c r="H37" s="229"/>
      <c r="I37" s="230"/>
      <c r="J37" s="71">
        <f>(H37*F37)+0.5*(I37*F37)</f>
        <v>0</v>
      </c>
      <c r="K37" s="72"/>
      <c r="L37" s="231"/>
      <c r="M37" s="203">
        <f>L37*F37</f>
        <v>0</v>
      </c>
      <c r="N37" s="276"/>
      <c r="O37" s="261"/>
      <c r="P37" s="233"/>
      <c r="Q37" s="256">
        <f>N37*((O37*F37)+0.5*(P37*F37))</f>
        <v>0</v>
      </c>
      <c r="R37" s="231"/>
      <c r="S37" s="233"/>
      <c r="T37" s="256">
        <f>(1-N37)*((R37*F37)+0.5*(S37*F37))</f>
        <v>0</v>
      </c>
    </row>
    <row r="38" spans="1:20" s="8" customFormat="1" ht="11.25" customHeight="1" x14ac:dyDescent="0.2">
      <c r="A38" s="73"/>
      <c r="B38" s="74"/>
      <c r="C38" s="75"/>
      <c r="D38" s="76"/>
      <c r="E38" s="76"/>
      <c r="F38" s="77"/>
      <c r="G38" s="78"/>
      <c r="H38" s="79"/>
      <c r="I38" s="80"/>
      <c r="J38" s="77"/>
      <c r="K38" s="78"/>
      <c r="L38" s="242"/>
      <c r="M38" s="200"/>
      <c r="N38" s="269"/>
      <c r="O38" s="262"/>
      <c r="P38" s="247"/>
      <c r="Q38" s="200"/>
      <c r="R38" s="242"/>
      <c r="S38" s="247"/>
      <c r="T38" s="200"/>
    </row>
    <row r="39" spans="1:20" s="8" customFormat="1" ht="11.25" customHeight="1" x14ac:dyDescent="0.2">
      <c r="A39" s="73"/>
      <c r="B39" s="74"/>
      <c r="C39" s="75"/>
      <c r="D39" s="76"/>
      <c r="E39" s="76"/>
      <c r="F39" s="77"/>
      <c r="G39" s="78"/>
      <c r="H39" s="79"/>
      <c r="I39" s="80"/>
      <c r="J39" s="77"/>
      <c r="K39" s="78"/>
      <c r="L39" s="242"/>
      <c r="M39" s="200"/>
      <c r="N39" s="269"/>
      <c r="O39" s="262"/>
      <c r="P39" s="247"/>
      <c r="Q39" s="200"/>
      <c r="R39" s="242"/>
      <c r="S39" s="247"/>
      <c r="T39" s="200"/>
    </row>
    <row r="40" spans="1:20" s="8" customFormat="1" ht="11.25" customHeight="1" x14ac:dyDescent="0.2">
      <c r="A40" s="81"/>
      <c r="B40" s="82"/>
      <c r="C40" s="83"/>
      <c r="D40" s="84"/>
      <c r="E40" s="84"/>
      <c r="F40" s="85"/>
      <c r="G40" s="86"/>
      <c r="H40" s="87"/>
      <c r="I40" s="88"/>
      <c r="J40" s="85"/>
      <c r="K40" s="86"/>
      <c r="L40" s="243"/>
      <c r="M40" s="201"/>
      <c r="N40" s="270"/>
      <c r="O40" s="263"/>
      <c r="P40" s="248"/>
      <c r="Q40" s="201"/>
      <c r="R40" s="243"/>
      <c r="S40" s="248"/>
      <c r="T40" s="201"/>
    </row>
    <row r="41" spans="1:20" s="7" customFormat="1" x14ac:dyDescent="0.2">
      <c r="A41" s="68" t="s">
        <v>42</v>
      </c>
      <c r="B41" s="69" t="s">
        <v>43</v>
      </c>
      <c r="C41" s="70"/>
      <c r="D41" s="69"/>
      <c r="E41" s="69"/>
      <c r="F41" s="71">
        <f>C41-D41-E41</f>
        <v>0</v>
      </c>
      <c r="G41" s="72"/>
      <c r="H41" s="229"/>
      <c r="I41" s="230"/>
      <c r="J41" s="71">
        <f>(H41*F41)+0.5*(I41*F41)</f>
        <v>0</v>
      </c>
      <c r="K41" s="72"/>
      <c r="L41" s="244"/>
      <c r="M41" s="203">
        <f>L41*F41</f>
        <v>0</v>
      </c>
      <c r="N41" s="514"/>
      <c r="O41" s="264"/>
      <c r="P41" s="249"/>
      <c r="Q41" s="256">
        <f>N41*((O41*F41)+0.5*(P41*F41))</f>
        <v>0</v>
      </c>
      <c r="R41" s="244"/>
      <c r="S41" s="249"/>
      <c r="T41" s="256">
        <f>(1-N41)*((R41*F41)+0.5*(S41*F41))</f>
        <v>0</v>
      </c>
    </row>
    <row r="42" spans="1:20" s="8" customFormat="1" ht="12" customHeight="1" x14ac:dyDescent="0.2">
      <c r="A42" s="73"/>
      <c r="B42" s="74"/>
      <c r="C42" s="75"/>
      <c r="D42" s="76"/>
      <c r="E42" s="76"/>
      <c r="F42" s="77"/>
      <c r="G42" s="78"/>
      <c r="H42" s="79"/>
      <c r="I42" s="80"/>
      <c r="J42" s="77"/>
      <c r="K42" s="78"/>
      <c r="L42" s="242"/>
      <c r="M42" s="200"/>
      <c r="N42" s="269"/>
      <c r="O42" s="262"/>
      <c r="P42" s="247"/>
      <c r="Q42" s="200"/>
      <c r="R42" s="242"/>
      <c r="S42" s="247"/>
      <c r="T42" s="200"/>
    </row>
    <row r="43" spans="1:20" s="8" customFormat="1" ht="12" customHeight="1" x14ac:dyDescent="0.2">
      <c r="A43" s="73"/>
      <c r="B43" s="74"/>
      <c r="C43" s="75"/>
      <c r="D43" s="76"/>
      <c r="E43" s="76"/>
      <c r="F43" s="77"/>
      <c r="G43" s="78"/>
      <c r="H43" s="79"/>
      <c r="I43" s="80"/>
      <c r="J43" s="77"/>
      <c r="K43" s="78"/>
      <c r="L43" s="242"/>
      <c r="M43" s="200"/>
      <c r="N43" s="269"/>
      <c r="O43" s="262"/>
      <c r="P43" s="247"/>
      <c r="Q43" s="200"/>
      <c r="R43" s="242"/>
      <c r="S43" s="247"/>
      <c r="T43" s="200"/>
    </row>
    <row r="44" spans="1:20" s="8" customFormat="1" ht="12" customHeight="1" x14ac:dyDescent="0.2">
      <c r="A44" s="81"/>
      <c r="B44" s="82"/>
      <c r="C44" s="83"/>
      <c r="D44" s="84"/>
      <c r="E44" s="84"/>
      <c r="F44" s="85"/>
      <c r="G44" s="86"/>
      <c r="H44" s="87"/>
      <c r="I44" s="88"/>
      <c r="J44" s="85"/>
      <c r="K44" s="86"/>
      <c r="L44" s="243"/>
      <c r="M44" s="201"/>
      <c r="N44" s="270"/>
      <c r="O44" s="263"/>
      <c r="P44" s="248"/>
      <c r="Q44" s="201"/>
      <c r="R44" s="243"/>
      <c r="S44" s="248"/>
      <c r="T44" s="201"/>
    </row>
    <row r="45" spans="1:20" ht="15" customHeight="1" x14ac:dyDescent="0.2">
      <c r="A45" s="94"/>
      <c r="B45" s="95" t="s">
        <v>44</v>
      </c>
      <c r="C45" s="96">
        <f>SUM(C13:C44)</f>
        <v>0</v>
      </c>
      <c r="D45" s="97">
        <f>SUM(D13:D44)</f>
        <v>0</v>
      </c>
      <c r="E45" s="97">
        <f>SUM(E13:E44)</f>
        <v>0</v>
      </c>
      <c r="F45" s="98">
        <f>SUM(F13:F44)</f>
        <v>0</v>
      </c>
      <c r="G45" s="99">
        <f>SUM(G13:G44)</f>
        <v>0</v>
      </c>
      <c r="H45" s="100"/>
      <c r="I45" s="101"/>
      <c r="J45" s="102">
        <f>SUM(J13:J44)</f>
        <v>0</v>
      </c>
      <c r="K45" s="99">
        <f>SUM(K13:K44)</f>
        <v>0</v>
      </c>
      <c r="L45" s="205"/>
      <c r="M45" s="99">
        <f>SUM(M13:M44)</f>
        <v>0</v>
      </c>
      <c r="N45" s="273"/>
      <c r="O45" s="267"/>
      <c r="P45" s="206"/>
      <c r="Q45" s="257">
        <f>SUM(Q13:Q44)</f>
        <v>0</v>
      </c>
      <c r="R45" s="205"/>
      <c r="S45" s="206"/>
      <c r="T45" s="257">
        <f>SUM(T13:T44)</f>
        <v>0</v>
      </c>
    </row>
    <row r="46" spans="1:20" ht="20.100000000000001" customHeight="1" x14ac:dyDescent="0.2">
      <c r="A46" s="852"/>
      <c r="B46" s="852"/>
      <c r="C46" s="852"/>
      <c r="D46" s="852"/>
      <c r="E46" s="852"/>
      <c r="F46" s="852"/>
      <c r="G46" s="852"/>
      <c r="H46" s="852"/>
      <c r="I46" s="852"/>
      <c r="J46" s="852"/>
      <c r="K46" s="852"/>
      <c r="L46" s="852"/>
      <c r="M46" s="852"/>
      <c r="N46" s="254"/>
    </row>
    <row r="47" spans="1:20" s="237" customFormat="1" ht="20.100000000000001" customHeight="1" x14ac:dyDescent="0.2">
      <c r="A47" s="254"/>
      <c r="B47" s="254"/>
      <c r="C47" s="254"/>
      <c r="D47" s="254"/>
      <c r="E47" s="254"/>
      <c r="F47" s="254"/>
      <c r="G47" s="254"/>
      <c r="H47" s="259" t="s">
        <v>379</v>
      </c>
      <c r="I47" s="254"/>
      <c r="J47" s="500" t="s">
        <v>675</v>
      </c>
      <c r="K47" s="254"/>
      <c r="L47" s="254"/>
      <c r="M47" s="254"/>
      <c r="N47" s="254"/>
    </row>
    <row r="48" spans="1:20" ht="20.100000000000001" customHeight="1" x14ac:dyDescent="0.2">
      <c r="A48" s="835" t="s">
        <v>374</v>
      </c>
      <c r="B48" s="835"/>
      <c r="C48" s="835"/>
      <c r="D48" s="835"/>
      <c r="E48" s="835"/>
      <c r="F48" s="835"/>
      <c r="G48" s="255">
        <f>IFERROR(J45/$F$45,0)</f>
        <v>0</v>
      </c>
      <c r="H48" s="258">
        <f>IF(G48&gt;=0.2,2,IF(G48&gt;=0.1,1,0))</f>
        <v>0</v>
      </c>
      <c r="I48" s="11"/>
      <c r="J48" s="501">
        <f>J45</f>
        <v>0</v>
      </c>
    </row>
    <row r="49" spans="1:18" s="237" customFormat="1" ht="20.100000000000001" customHeight="1" x14ac:dyDescent="0.2">
      <c r="A49" s="835" t="s">
        <v>378</v>
      </c>
      <c r="B49" s="835"/>
      <c r="C49" s="835"/>
      <c r="D49" s="835"/>
      <c r="E49" s="835"/>
      <c r="F49" s="835"/>
      <c r="G49" s="255">
        <f>IFERROR(Q45/$F$45,0)</f>
        <v>0</v>
      </c>
      <c r="H49" s="258">
        <f>IF(G49&gt;=0.1,3,0)</f>
        <v>0</v>
      </c>
      <c r="I49" s="236"/>
      <c r="J49" s="501">
        <f>Q45</f>
        <v>0</v>
      </c>
    </row>
    <row r="50" spans="1:18" s="237" customFormat="1" ht="20.100000000000001" customHeight="1" x14ac:dyDescent="0.2">
      <c r="A50" s="835" t="s">
        <v>380</v>
      </c>
      <c r="B50" s="835"/>
      <c r="C50" s="835"/>
      <c r="D50" s="835"/>
      <c r="E50" s="835"/>
      <c r="F50" s="835"/>
      <c r="G50" s="255">
        <f>IFERROR(T45/F45,0)</f>
        <v>0</v>
      </c>
      <c r="H50" s="258">
        <f>IF(G50&gt;=0.5,3,0)</f>
        <v>0</v>
      </c>
      <c r="I50" s="236"/>
      <c r="J50" s="501">
        <f>T45</f>
        <v>0</v>
      </c>
    </row>
    <row r="51" spans="1:18" s="237" customFormat="1" ht="20.100000000000001" customHeight="1" x14ac:dyDescent="0.2">
      <c r="A51" s="835" t="s">
        <v>377</v>
      </c>
      <c r="B51" s="835"/>
      <c r="C51" s="835"/>
      <c r="D51" s="835"/>
      <c r="E51" s="835"/>
      <c r="F51" s="835"/>
      <c r="G51" s="255">
        <f>IFERROR(M45/$F$45,0)</f>
        <v>0</v>
      </c>
      <c r="H51" s="258">
        <f>IF(G51&gt;=0.2,1,0)</f>
        <v>0</v>
      </c>
      <c r="I51" s="236"/>
      <c r="J51" s="501">
        <f>M45</f>
        <v>0</v>
      </c>
    </row>
    <row r="52" spans="1:18" s="9" customFormat="1" ht="20.100000000000001" customHeight="1" x14ac:dyDescent="0.2">
      <c r="A52" s="835" t="s">
        <v>375</v>
      </c>
      <c r="B52" s="835"/>
      <c r="C52" s="835"/>
      <c r="D52" s="835"/>
      <c r="E52" s="835"/>
      <c r="F52" s="835"/>
      <c r="G52" s="255">
        <f>IFERROR(G45/$F$45,0)</f>
        <v>0</v>
      </c>
      <c r="H52" s="258">
        <f>IF(G52&gt;0,1,0)</f>
        <v>0</v>
      </c>
      <c r="I52" s="103"/>
      <c r="J52" s="502">
        <f>G45</f>
        <v>0</v>
      </c>
      <c r="L52" s="10"/>
    </row>
    <row r="53" spans="1:18" ht="20.100000000000001" customHeight="1" x14ac:dyDescent="0.2">
      <c r="A53" s="835" t="s">
        <v>376</v>
      </c>
      <c r="B53" s="835"/>
      <c r="C53" s="835"/>
      <c r="D53" s="835"/>
      <c r="E53" s="835"/>
      <c r="F53" s="835"/>
      <c r="G53" s="255">
        <f>IFERROR(K45/$F$45,0)</f>
        <v>0</v>
      </c>
      <c r="H53" s="258">
        <f>IF(G53&gt;0,1,0)</f>
        <v>0</v>
      </c>
      <c r="I53" s="11"/>
      <c r="J53" s="502">
        <f>K45</f>
        <v>0</v>
      </c>
      <c r="K53" s="12"/>
      <c r="L53" s="12"/>
      <c r="M53" s="12"/>
      <c r="N53" s="12"/>
      <c r="O53" s="12"/>
      <c r="P53" s="12"/>
      <c r="Q53" s="12"/>
      <c r="R53" s="12"/>
    </row>
  </sheetData>
  <sheetProtection selectLockedCells="1"/>
  <mergeCells count="30">
    <mergeCell ref="A1:G1"/>
    <mergeCell ref="H1:M1"/>
    <mergeCell ref="A2:C2"/>
    <mergeCell ref="A3:B3"/>
    <mergeCell ref="A4:M4"/>
    <mergeCell ref="A48:F48"/>
    <mergeCell ref="A5:G5"/>
    <mergeCell ref="H5:M5"/>
    <mergeCell ref="A46:M46"/>
    <mergeCell ref="A6:G6"/>
    <mergeCell ref="H6:M6"/>
    <mergeCell ref="H7:J7"/>
    <mergeCell ref="L7:M7"/>
    <mergeCell ref="A8:B10"/>
    <mergeCell ref="C8:C10"/>
    <mergeCell ref="K8:K10"/>
    <mergeCell ref="D8:D10"/>
    <mergeCell ref="E8:E10"/>
    <mergeCell ref="F8:F10"/>
    <mergeCell ref="G8:G10"/>
    <mergeCell ref="R9:T9"/>
    <mergeCell ref="H8:J9"/>
    <mergeCell ref="L8:M9"/>
    <mergeCell ref="N9:Q9"/>
    <mergeCell ref="N8:T8"/>
    <mergeCell ref="A53:F53"/>
    <mergeCell ref="A51:F51"/>
    <mergeCell ref="A49:F49"/>
    <mergeCell ref="A50:F50"/>
    <mergeCell ref="A52:F52"/>
  </mergeCells>
  <pageMargins left="0.7" right="0.7" top="0.75" bottom="0.75" header="0.3" footer="0.3"/>
  <pageSetup scale="51" fitToHeight="3" orientation="landscape" r:id="rId1"/>
  <headerFooter>
    <oddFooter>&amp;C&amp;9State of Tennessee HPBr 5/18/18&amp;RPage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86"/>
  <sheetViews>
    <sheetView topLeftCell="A3" zoomScaleNormal="100" zoomScaleSheetLayoutView="115" workbookViewId="0">
      <selection activeCell="F10" sqref="F10"/>
    </sheetView>
  </sheetViews>
  <sheetFormatPr defaultColWidth="9.140625" defaultRowHeight="12.75" x14ac:dyDescent="0.2"/>
  <cols>
    <col min="1" max="1" width="82.7109375" style="439" customWidth="1"/>
    <col min="2" max="16384" width="9.140625" style="439"/>
  </cols>
  <sheetData>
    <row r="1" spans="1:1" s="429" customFormat="1" ht="20.100000000000001" customHeight="1" x14ac:dyDescent="0.2">
      <c r="A1" s="428" t="s">
        <v>45</v>
      </c>
    </row>
    <row r="2" spans="1:1" s="431" customFormat="1" ht="18.75" customHeight="1" x14ac:dyDescent="0.2">
      <c r="A2" s="430" t="s">
        <v>130</v>
      </c>
    </row>
    <row r="3" spans="1:1" s="431" customFormat="1" ht="18.75" customHeight="1" x14ac:dyDescent="0.2">
      <c r="A3" s="430"/>
    </row>
    <row r="4" spans="1:1" s="431" customFormat="1" ht="15.75" customHeight="1" x14ac:dyDescent="0.2">
      <c r="A4" s="432" t="s">
        <v>46</v>
      </c>
    </row>
    <row r="5" spans="1:1" s="431" customFormat="1" ht="81" customHeight="1" x14ac:dyDescent="0.2">
      <c r="A5" s="433" t="s">
        <v>47</v>
      </c>
    </row>
    <row r="6" spans="1:1" s="431" customFormat="1" ht="18" x14ac:dyDescent="0.2">
      <c r="A6" s="434" t="s">
        <v>365</v>
      </c>
    </row>
    <row r="7" spans="1:1" s="431" customFormat="1" ht="25.5" x14ac:dyDescent="0.2">
      <c r="A7" s="434" t="s">
        <v>366</v>
      </c>
    </row>
    <row r="8" spans="1:1" s="431" customFormat="1" ht="38.25" x14ac:dyDescent="0.2">
      <c r="A8" s="434" t="s">
        <v>368</v>
      </c>
    </row>
    <row r="9" spans="1:1" s="431" customFormat="1" ht="63.75" x14ac:dyDescent="0.2">
      <c r="A9" s="434" t="s">
        <v>367</v>
      </c>
    </row>
    <row r="10" spans="1:1" s="431" customFormat="1" ht="31.5" customHeight="1" x14ac:dyDescent="0.2">
      <c r="A10" s="433" t="s">
        <v>48</v>
      </c>
    </row>
    <row r="11" spans="1:1" s="431" customFormat="1" ht="31.5" customHeight="1" x14ac:dyDescent="0.2">
      <c r="A11" s="434" t="s">
        <v>369</v>
      </c>
    </row>
    <row r="12" spans="1:1" s="431" customFormat="1" ht="20.100000000000001" customHeight="1" x14ac:dyDescent="0.2">
      <c r="A12" s="432" t="s">
        <v>13</v>
      </c>
    </row>
    <row r="13" spans="1:1" s="431" customFormat="1" ht="20.100000000000001" customHeight="1" x14ac:dyDescent="0.2">
      <c r="A13" s="435" t="s">
        <v>14</v>
      </c>
    </row>
    <row r="14" spans="1:1" s="431" customFormat="1" ht="126.75" customHeight="1" x14ac:dyDescent="0.2">
      <c r="A14" s="436" t="s">
        <v>298</v>
      </c>
    </row>
    <row r="15" spans="1:1" s="431" customFormat="1" ht="43.5" customHeight="1" x14ac:dyDescent="0.2">
      <c r="A15" s="437" t="s">
        <v>49</v>
      </c>
    </row>
    <row r="16" spans="1:1" s="431" customFormat="1" ht="120.75" customHeight="1" x14ac:dyDescent="0.2">
      <c r="A16" s="437" t="s">
        <v>50</v>
      </c>
    </row>
    <row r="17" spans="1:1" s="431" customFormat="1" ht="42.75" customHeight="1" x14ac:dyDescent="0.2">
      <c r="A17" s="436" t="s">
        <v>299</v>
      </c>
    </row>
    <row r="18" spans="1:1" ht="9.9499999999999993" customHeight="1" x14ac:dyDescent="0.2">
      <c r="A18" s="438"/>
    </row>
    <row r="19" spans="1:1" s="440" customFormat="1" ht="20.100000000000001" customHeight="1" x14ac:dyDescent="0.2">
      <c r="A19" s="439"/>
    </row>
    <row r="20" spans="1:1" ht="35.1" customHeight="1" x14ac:dyDescent="0.2"/>
    <row r="21" spans="1:1" s="441" customFormat="1" x14ac:dyDescent="0.2">
      <c r="A21" s="439"/>
    </row>
    <row r="22" spans="1:1" ht="15" customHeight="1" x14ac:dyDescent="0.2"/>
    <row r="23" spans="1:1" ht="15" customHeight="1" x14ac:dyDescent="0.2"/>
    <row r="24" spans="1:1" ht="15" customHeight="1" x14ac:dyDescent="0.2"/>
    <row r="25" spans="1:1" ht="15" customHeight="1" x14ac:dyDescent="0.2"/>
    <row r="26" spans="1:1" ht="15" customHeight="1" x14ac:dyDescent="0.2"/>
    <row r="27" spans="1:1" ht="15" customHeight="1" x14ac:dyDescent="0.2"/>
    <row r="28" spans="1:1" ht="15" customHeight="1" x14ac:dyDescent="0.2"/>
    <row r="29" spans="1:1" ht="15" customHeight="1" x14ac:dyDescent="0.2"/>
    <row r="30" spans="1:1" ht="15" customHeight="1" x14ac:dyDescent="0.2"/>
    <row r="31" spans="1:1" ht="15" customHeight="1" x14ac:dyDescent="0.2"/>
    <row r="32" spans="1:1"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30"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80" hidden="1" x14ac:dyDescent="0.2"/>
    <row r="81" hidden="1" x14ac:dyDescent="0.2"/>
    <row r="82" hidden="1" x14ac:dyDescent="0.2"/>
    <row r="83" hidden="1" x14ac:dyDescent="0.2"/>
    <row r="84" hidden="1" x14ac:dyDescent="0.2"/>
    <row r="85" hidden="1" x14ac:dyDescent="0.2"/>
    <row r="86" hidden="1" x14ac:dyDescent="0.2"/>
  </sheetData>
  <sheetProtection selectLockedCells="1"/>
  <phoneticPr fontId="37" type="noConversion"/>
  <pageMargins left="0.75" right="0.75" top="1" bottom="1" header="0.5" footer="0.5"/>
  <pageSetup orientation="portrait" r:id="rId1"/>
  <headerFooter alignWithMargins="0">
    <oddFooter>&amp;CState of TN HPBr 5/18/18&amp;RPage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53</vt:i4>
      </vt:variant>
    </vt:vector>
  </HeadingPairs>
  <TitlesOfParts>
    <vt:vector size="65" baseType="lpstr">
      <vt:lpstr>Summary</vt:lpstr>
      <vt:lpstr>Metrics</vt:lpstr>
      <vt:lpstr>Sheet1</vt:lpstr>
      <vt:lpstr>HPBr Checklist</vt:lpstr>
      <vt:lpstr>Credit Lookup</vt:lpstr>
      <vt:lpstr>Credit Verification</vt:lpstr>
      <vt:lpstr>One-Time Completion Form</vt:lpstr>
      <vt:lpstr>MR-Calculator</vt:lpstr>
      <vt:lpstr>DL - Instructions</vt:lpstr>
      <vt:lpstr>DL - Calculator</vt:lpstr>
      <vt:lpstr>References</vt:lpstr>
      <vt:lpstr>Facility Types</vt:lpstr>
      <vt:lpstr>Addition___Minor_Renovation___Capital_Maintenance</vt:lpstr>
      <vt:lpstr>Allowed</vt:lpstr>
      <vt:lpstr>BuildingArea</vt:lpstr>
      <vt:lpstr>BuildingUseType</vt:lpstr>
      <vt:lpstr>Capital_Maintenance</vt:lpstr>
      <vt:lpstr>CreditID_Description</vt:lpstr>
      <vt:lpstr>'Facility Types'!Education</vt:lpstr>
      <vt:lpstr>eFuelTypes</vt:lpstr>
      <vt:lpstr>EnergyCode</vt:lpstr>
      <vt:lpstr>'Facility Types'!FoodSales</vt:lpstr>
      <vt:lpstr>'Facility Types'!FoodService</vt:lpstr>
      <vt:lpstr>'Facility Types'!HealthIn</vt:lpstr>
      <vt:lpstr>'Facility Types'!HealthOut</vt:lpstr>
      <vt:lpstr>'Facility Types'!Lodging</vt:lpstr>
      <vt:lpstr>'Facility Types'!Malls</vt:lpstr>
      <vt:lpstr>ModelingTool</vt:lpstr>
      <vt:lpstr>New_Construction</vt:lpstr>
      <vt:lpstr>NotAllowed</vt:lpstr>
      <vt:lpstr>'Facility Types'!Office</vt:lpstr>
      <vt:lpstr>'Facility Types'!Other</vt:lpstr>
      <vt:lpstr>'Credit Verification'!Print_Area</vt:lpstr>
      <vt:lpstr>'HPBr Checklist'!Print_Area</vt:lpstr>
      <vt:lpstr>Metrics!Print_Area</vt:lpstr>
      <vt:lpstr>'One-Time Completion Form'!Print_Area</vt:lpstr>
      <vt:lpstr>'Credit Verification'!Print_Titles</vt:lpstr>
      <vt:lpstr>'DL - Calculator'!Print_Titles</vt:lpstr>
      <vt:lpstr>'HPBr Checklist'!Print_Titles</vt:lpstr>
      <vt:lpstr>'One-Time Completion Form'!Print_Titles</vt:lpstr>
      <vt:lpstr>Project_Roles</vt:lpstr>
      <vt:lpstr>ProjectUseType</vt:lpstr>
      <vt:lpstr>'Facility Types'!PublicAssembly</vt:lpstr>
      <vt:lpstr>'Facility Types'!PublicOrder</vt:lpstr>
      <vt:lpstr>Renovation</vt:lpstr>
      <vt:lpstr>'Facility Types'!RetailOther</vt:lpstr>
      <vt:lpstr>Scope</vt:lpstr>
      <vt:lpstr>'Facility Types'!Service</vt:lpstr>
      <vt:lpstr>USGBC_Building_Type</vt:lpstr>
      <vt:lpstr>'Facility Types'!Vacant</vt:lpstr>
      <vt:lpstr>'Facility Types'!Warehouse</vt:lpstr>
      <vt:lpstr>'Facility Types'!Worship</vt:lpstr>
      <vt:lpstr>Yes1</vt:lpstr>
      <vt:lpstr>Yes2</vt:lpstr>
      <vt:lpstr>Yes2Only</vt:lpstr>
      <vt:lpstr>Yes3</vt:lpstr>
      <vt:lpstr>Yes3Only</vt:lpstr>
      <vt:lpstr>Yes5</vt:lpstr>
      <vt:lpstr>Yes8</vt:lpstr>
      <vt:lpstr>YesNoWater</vt:lpstr>
      <vt:lpstr>Zero1</vt:lpstr>
      <vt:lpstr>Zero2</vt:lpstr>
      <vt:lpstr>Zero3</vt:lpstr>
      <vt:lpstr>Zero5</vt:lpstr>
      <vt:lpstr>Zero8</vt:lpstr>
    </vt:vector>
  </TitlesOfParts>
  <Company>HAA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HAA</dc:creator>
  <cp:lastModifiedBy>Chris Byerly</cp:lastModifiedBy>
  <cp:lastPrinted>2018-09-18T14:07:33Z</cp:lastPrinted>
  <dcterms:created xsi:type="dcterms:W3CDTF">2007-08-20T13:04:58Z</dcterms:created>
  <dcterms:modified xsi:type="dcterms:W3CDTF">2018-09-18T14:24:40Z</dcterms:modified>
</cp:coreProperties>
</file>