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2820" windowWidth="15480" windowHeight="9463"/>
  </bookViews>
  <sheets>
    <sheet name="Data" sheetId="1" r:id="rId1"/>
  </sheets>
  <calcPr calcId="145621"/>
</workbook>
</file>

<file path=xl/calcChain.xml><?xml version="1.0" encoding="utf-8"?>
<calcChain xmlns="http://schemas.openxmlformats.org/spreadsheetml/2006/main">
  <c r="Y616" i="1" l="1"/>
  <c r="Y617" i="1"/>
  <c r="Y618" i="1"/>
  <c r="Y619" i="1"/>
  <c r="B616" i="1"/>
  <c r="B617" i="1"/>
  <c r="B618" i="1"/>
  <c r="B619" i="1"/>
  <c r="Y611" i="1" l="1"/>
  <c r="Y612" i="1"/>
  <c r="Y613" i="1"/>
  <c r="Y614" i="1"/>
  <c r="Y615" i="1"/>
  <c r="B611" i="1" l="1"/>
  <c r="B612" i="1"/>
  <c r="B613" i="1"/>
  <c r="B614" i="1"/>
  <c r="B615" i="1"/>
  <c r="Y609" i="1" l="1"/>
  <c r="Y610" i="1"/>
  <c r="B609" i="1"/>
  <c r="B610" i="1"/>
  <c r="Y604" i="1" l="1"/>
  <c r="Y605" i="1"/>
  <c r="Y606" i="1"/>
  <c r="Y607" i="1"/>
  <c r="Y608" i="1"/>
  <c r="B604" i="1"/>
  <c r="B605" i="1"/>
  <c r="B606" i="1"/>
  <c r="B607" i="1"/>
  <c r="B608" i="1"/>
  <c r="Y596" i="1" l="1"/>
  <c r="Y597" i="1"/>
  <c r="Y598" i="1"/>
  <c r="Y599" i="1"/>
  <c r="Y600" i="1"/>
  <c r="Y601" i="1"/>
  <c r="Y602" i="1"/>
  <c r="Y603" i="1"/>
  <c r="B595" i="1"/>
  <c r="B596" i="1"/>
  <c r="B597" i="1"/>
  <c r="B598" i="1"/>
  <c r="B599" i="1"/>
  <c r="B600" i="1"/>
  <c r="B601" i="1"/>
  <c r="B602" i="1"/>
  <c r="B603" i="1"/>
  <c r="B594" i="1" l="1"/>
  <c r="B593" i="1"/>
  <c r="B592" i="1"/>
  <c r="B591" i="1"/>
  <c r="B590" i="1"/>
  <c r="B589" i="1"/>
  <c r="B588" i="1"/>
  <c r="B587" i="1"/>
  <c r="B586" i="1"/>
  <c r="B585" i="1"/>
  <c r="B584" i="1"/>
  <c r="Y584" i="1"/>
  <c r="Y585" i="1"/>
  <c r="Y586" i="1"/>
  <c r="Y587" i="1"/>
  <c r="Y588" i="1"/>
  <c r="Y589" i="1"/>
  <c r="Y590" i="1"/>
  <c r="Y591" i="1"/>
  <c r="Y592" i="1"/>
  <c r="Y593" i="1"/>
  <c r="Y594" i="1"/>
  <c r="Y595" i="1"/>
  <c r="Y571" i="1" l="1"/>
  <c r="Y572" i="1"/>
  <c r="Y573" i="1"/>
  <c r="Y574" i="1"/>
  <c r="Y575" i="1"/>
  <c r="Y576" i="1"/>
  <c r="Y577" i="1"/>
  <c r="Y578" i="1"/>
  <c r="Y579" i="1"/>
  <c r="Y580" i="1"/>
  <c r="Y581" i="1"/>
  <c r="Y582" i="1"/>
  <c r="Y583" i="1"/>
  <c r="B571" i="1" l="1"/>
  <c r="B572" i="1"/>
  <c r="B573" i="1"/>
  <c r="B574" i="1"/>
  <c r="B575" i="1"/>
  <c r="B576" i="1"/>
  <c r="B577" i="1"/>
  <c r="B578" i="1"/>
  <c r="B579" i="1"/>
  <c r="B580" i="1"/>
  <c r="B581" i="1"/>
  <c r="B582" i="1"/>
  <c r="B583" i="1"/>
  <c r="Y570" i="1" l="1"/>
  <c r="Y569" i="1"/>
  <c r="Y568" i="1"/>
  <c r="Y567" i="1"/>
  <c r="Y566" i="1"/>
  <c r="Y565" i="1"/>
  <c r="B565" i="1" l="1"/>
  <c r="B566" i="1"/>
  <c r="B567" i="1"/>
  <c r="B568" i="1"/>
  <c r="B569" i="1"/>
  <c r="B570" i="1"/>
  <c r="Y564" i="1" l="1"/>
  <c r="Y563" i="1"/>
  <c r="Y562" i="1"/>
  <c r="Y561" i="1"/>
  <c r="Y560" i="1"/>
  <c r="Y559" i="1"/>
  <c r="Y558" i="1"/>
  <c r="Y557" i="1"/>
  <c r="B564" i="1"/>
  <c r="B563" i="1"/>
  <c r="B562" i="1"/>
  <c r="B561" i="1"/>
  <c r="B560" i="1"/>
  <c r="B559" i="1"/>
  <c r="B558" i="1"/>
  <c r="B557" i="1"/>
  <c r="Y556" i="1" l="1"/>
  <c r="Y555" i="1"/>
  <c r="Y554" i="1"/>
  <c r="B556" i="1"/>
  <c r="B555" i="1"/>
  <c r="B554" i="1"/>
  <c r="Y552" i="1"/>
  <c r="Y551" i="1"/>
  <c r="Y550" i="1"/>
  <c r="Y549" i="1"/>
  <c r="Y548" i="1"/>
  <c r="B553" i="1"/>
  <c r="B552" i="1"/>
  <c r="B551" i="1"/>
  <c r="B550" i="1"/>
  <c r="B549" i="1"/>
  <c r="B548" i="1"/>
  <c r="Y547" i="1"/>
  <c r="Y546" i="1"/>
  <c r="B547" i="1"/>
  <c r="B546" i="1"/>
  <c r="Y545" i="1"/>
  <c r="B545" i="1"/>
  <c r="Y544" i="1"/>
  <c r="B544" i="1"/>
  <c r="Y543" i="1"/>
  <c r="Y542" i="1"/>
  <c r="B543" i="1"/>
  <c r="B542" i="1"/>
  <c r="Y541" i="1"/>
  <c r="Y540" i="1"/>
  <c r="Y539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3" i="1"/>
  <c r="B474" i="1"/>
  <c r="B475" i="1"/>
  <c r="B476" i="1"/>
  <c r="B477" i="1"/>
  <c r="B478" i="1"/>
  <c r="B472" i="1"/>
  <c r="B471" i="1"/>
  <c r="B469" i="1"/>
  <c r="B470" i="1"/>
  <c r="B468" i="1"/>
  <c r="B465" i="1"/>
  <c r="B466" i="1"/>
  <c r="B467" i="1"/>
  <c r="B464" i="1"/>
  <c r="B463" i="1"/>
  <c r="B462" i="1"/>
  <c r="B461" i="1"/>
  <c r="B458" i="1"/>
  <c r="B459" i="1"/>
  <c r="B460" i="1"/>
  <c r="B456" i="1"/>
  <c r="B457" i="1"/>
  <c r="B455" i="1"/>
  <c r="B453" i="1"/>
  <c r="B454" i="1"/>
  <c r="B452" i="1"/>
  <c r="B451" i="1"/>
  <c r="B450" i="1"/>
  <c r="B449" i="1"/>
  <c r="B446" i="1"/>
  <c r="B447" i="1"/>
  <c r="B448" i="1"/>
  <c r="B445" i="1"/>
  <c r="B444" i="1"/>
  <c r="B442" i="1"/>
  <c r="B443" i="1"/>
  <c r="B441" i="1"/>
  <c r="B440" i="1"/>
  <c r="B438" i="1"/>
  <c r="B439" i="1"/>
  <c r="B437" i="1"/>
  <c r="B436" i="1"/>
  <c r="B435" i="1"/>
  <c r="B434" i="1"/>
  <c r="B433" i="1"/>
  <c r="B432" i="1"/>
  <c r="B431" i="1"/>
  <c r="B430" i="1"/>
  <c r="B429" i="1"/>
  <c r="B428" i="1"/>
  <c r="B427" i="1"/>
  <c r="B425" i="1"/>
  <c r="B426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S335" i="1"/>
  <c r="C335" i="1"/>
  <c r="B335" i="1"/>
  <c r="S334" i="1"/>
  <c r="B334" i="1"/>
  <c r="S333" i="1"/>
  <c r="B333" i="1"/>
  <c r="S332" i="1"/>
  <c r="B332" i="1"/>
  <c r="S331" i="1"/>
  <c r="B331" i="1"/>
  <c r="S330" i="1"/>
  <c r="B330" i="1"/>
  <c r="S329" i="1"/>
  <c r="B329" i="1"/>
  <c r="S328" i="1"/>
  <c r="B328" i="1"/>
  <c r="S327" i="1"/>
  <c r="B327" i="1"/>
  <c r="S326" i="1"/>
  <c r="B326" i="1"/>
  <c r="S325" i="1"/>
  <c r="B325" i="1"/>
  <c r="S324" i="1"/>
  <c r="B324" i="1"/>
  <c r="S323" i="1"/>
  <c r="C323" i="1"/>
  <c r="B323" i="1"/>
  <c r="S322" i="1"/>
  <c r="C322" i="1"/>
  <c r="B322" i="1"/>
  <c r="S321" i="1"/>
  <c r="B321" i="1"/>
  <c r="S320" i="1"/>
  <c r="B320" i="1"/>
  <c r="S319" i="1"/>
  <c r="B319" i="1"/>
  <c r="S318" i="1"/>
  <c r="B318" i="1"/>
  <c r="S317" i="1"/>
  <c r="B317" i="1"/>
  <c r="V316" i="1"/>
  <c r="S316" i="1"/>
  <c r="B316" i="1"/>
  <c r="V315" i="1"/>
  <c r="S315" i="1"/>
  <c r="C315" i="1"/>
  <c r="B315" i="1"/>
  <c r="U314" i="1"/>
  <c r="S314" i="1"/>
  <c r="C314" i="1"/>
  <c r="B314" i="1"/>
  <c r="S313" i="1"/>
  <c r="B313" i="1"/>
  <c r="S312" i="1"/>
  <c r="B312" i="1"/>
  <c r="U311" i="1"/>
  <c r="S311" i="1"/>
  <c r="B311" i="1"/>
  <c r="S310" i="1"/>
  <c r="B310" i="1"/>
  <c r="S309" i="1"/>
  <c r="C309" i="1"/>
  <c r="B309" i="1"/>
  <c r="S308" i="1"/>
  <c r="C308" i="1"/>
  <c r="B308" i="1"/>
  <c r="S307" i="1"/>
  <c r="B307" i="1"/>
  <c r="U306" i="1"/>
  <c r="S306" i="1"/>
  <c r="B306" i="1"/>
  <c r="S305" i="1"/>
  <c r="B305" i="1"/>
  <c r="S304" i="1"/>
  <c r="C304" i="1"/>
  <c r="B304" i="1"/>
  <c r="S303" i="1"/>
  <c r="B303" i="1"/>
  <c r="S302" i="1"/>
  <c r="C302" i="1"/>
  <c r="B302" i="1"/>
  <c r="S301" i="1"/>
  <c r="C301" i="1"/>
  <c r="B301" i="1"/>
  <c r="S300" i="1"/>
  <c r="B300" i="1"/>
  <c r="S299" i="1"/>
  <c r="B299" i="1"/>
  <c r="S298" i="1"/>
  <c r="B298" i="1"/>
  <c r="S297" i="1"/>
  <c r="B297" i="1"/>
  <c r="C296" i="1"/>
  <c r="B296" i="1"/>
  <c r="U295" i="1"/>
  <c r="C295" i="1"/>
  <c r="B295" i="1"/>
  <c r="U294" i="1"/>
  <c r="C294" i="1"/>
  <c r="B294" i="1"/>
  <c r="B293" i="1"/>
  <c r="C292" i="1"/>
  <c r="B292" i="1"/>
  <c r="B291" i="1"/>
  <c r="B290" i="1"/>
  <c r="B289" i="1"/>
  <c r="B288" i="1"/>
  <c r="B287" i="1"/>
  <c r="B286" i="1"/>
  <c r="U285" i="1"/>
  <c r="C285" i="1"/>
  <c r="B285" i="1"/>
  <c r="U284" i="1"/>
  <c r="C284" i="1"/>
  <c r="B284" i="1"/>
  <c r="B283" i="1"/>
  <c r="B282" i="1"/>
  <c r="U281" i="1"/>
  <c r="C281" i="1"/>
  <c r="B281" i="1"/>
  <c r="B280" i="1"/>
  <c r="B279" i="1"/>
  <c r="C278" i="1"/>
  <c r="B278" i="1"/>
  <c r="C277" i="1"/>
  <c r="B277" i="1"/>
  <c r="C276" i="1"/>
  <c r="B276" i="1"/>
  <c r="C275" i="1"/>
  <c r="B275" i="1"/>
  <c r="C274" i="1"/>
  <c r="B274" i="1"/>
  <c r="B273" i="1"/>
  <c r="C272" i="1"/>
  <c r="B272" i="1"/>
  <c r="C271" i="1"/>
  <c r="B271" i="1"/>
  <c r="C270" i="1"/>
  <c r="B270" i="1"/>
  <c r="U269" i="1"/>
  <c r="C269" i="1"/>
  <c r="B269" i="1"/>
  <c r="C268" i="1"/>
  <c r="B268" i="1"/>
  <c r="C267" i="1"/>
  <c r="B267" i="1"/>
  <c r="U266" i="1"/>
  <c r="C266" i="1"/>
  <c r="B266" i="1"/>
  <c r="C265" i="1"/>
  <c r="B265" i="1"/>
  <c r="B264" i="1"/>
  <c r="C263" i="1"/>
  <c r="B263" i="1"/>
  <c r="C262" i="1"/>
  <c r="B262" i="1"/>
  <c r="C261" i="1"/>
  <c r="B261" i="1"/>
  <c r="C260" i="1"/>
  <c r="B260" i="1"/>
  <c r="C259" i="1"/>
  <c r="B259" i="1"/>
  <c r="C258" i="1"/>
  <c r="B258" i="1"/>
  <c r="C257" i="1"/>
  <c r="B257" i="1"/>
  <c r="U256" i="1"/>
  <c r="C256" i="1"/>
  <c r="B256" i="1"/>
  <c r="C255" i="1"/>
  <c r="B255" i="1"/>
  <c r="C254" i="1"/>
  <c r="B254" i="1"/>
  <c r="C253" i="1"/>
  <c r="B253" i="1"/>
  <c r="C252" i="1"/>
  <c r="B252" i="1"/>
  <c r="C251" i="1"/>
  <c r="B251" i="1"/>
  <c r="C250" i="1"/>
  <c r="B250" i="1"/>
  <c r="U249" i="1"/>
  <c r="C249" i="1"/>
  <c r="B249" i="1"/>
  <c r="C248" i="1"/>
  <c r="B248" i="1"/>
  <c r="C247" i="1"/>
  <c r="B247" i="1"/>
  <c r="C246" i="1"/>
  <c r="B246" i="1"/>
  <c r="C245" i="1"/>
  <c r="B245" i="1"/>
  <c r="C244" i="1"/>
  <c r="B244" i="1"/>
  <c r="C243" i="1"/>
  <c r="B243" i="1"/>
  <c r="C242" i="1"/>
  <c r="B242" i="1"/>
  <c r="U241" i="1"/>
  <c r="C241" i="1"/>
  <c r="B241" i="1"/>
  <c r="C240" i="1"/>
  <c r="B240" i="1"/>
  <c r="C239" i="1"/>
  <c r="B239" i="1"/>
  <c r="C238" i="1"/>
  <c r="B238" i="1"/>
  <c r="C237" i="1"/>
  <c r="B237" i="1"/>
  <c r="C236" i="1"/>
  <c r="B236" i="1"/>
  <c r="C235" i="1"/>
  <c r="B235" i="1"/>
  <c r="U234" i="1"/>
  <c r="C234" i="1"/>
  <c r="B234" i="1"/>
  <c r="C233" i="1"/>
  <c r="B233" i="1"/>
  <c r="C232" i="1"/>
  <c r="B232" i="1"/>
  <c r="C231" i="1"/>
  <c r="B231" i="1"/>
  <c r="C230" i="1"/>
  <c r="B230" i="1"/>
  <c r="C229" i="1"/>
  <c r="B229" i="1"/>
  <c r="C228" i="1"/>
  <c r="B228" i="1"/>
  <c r="U227" i="1"/>
  <c r="C227" i="1"/>
  <c r="B227" i="1"/>
  <c r="C226" i="1"/>
  <c r="B226" i="1"/>
  <c r="C225" i="1"/>
  <c r="B225" i="1"/>
  <c r="C224" i="1"/>
  <c r="B224" i="1"/>
  <c r="C223" i="1"/>
  <c r="B223" i="1"/>
  <c r="U222" i="1"/>
  <c r="C222" i="1"/>
  <c r="B222" i="1"/>
  <c r="C221" i="1"/>
  <c r="B221" i="1"/>
  <c r="U220" i="1"/>
  <c r="C220" i="1"/>
  <c r="B220" i="1"/>
  <c r="C219" i="1"/>
  <c r="B219" i="1"/>
  <c r="C218" i="1"/>
  <c r="B218" i="1"/>
  <c r="C217" i="1"/>
  <c r="B217" i="1"/>
  <c r="U216" i="1"/>
  <c r="C216" i="1"/>
  <c r="B216" i="1"/>
  <c r="U215" i="1"/>
  <c r="C215" i="1"/>
  <c r="B215" i="1"/>
  <c r="C214" i="1"/>
  <c r="B214" i="1"/>
  <c r="C213" i="1"/>
  <c r="B213" i="1"/>
  <c r="U212" i="1"/>
  <c r="C212" i="1"/>
  <c r="B212" i="1"/>
  <c r="C211" i="1"/>
  <c r="B211" i="1"/>
  <c r="U210" i="1"/>
  <c r="C210" i="1"/>
  <c r="B210" i="1"/>
  <c r="U209" i="1"/>
  <c r="C209" i="1"/>
  <c r="B209" i="1"/>
  <c r="U208" i="1"/>
  <c r="C208" i="1"/>
  <c r="B208" i="1"/>
  <c r="C207" i="1"/>
  <c r="B207" i="1"/>
  <c r="C206" i="1"/>
  <c r="B206" i="1"/>
  <c r="C205" i="1"/>
  <c r="B205" i="1"/>
  <c r="C204" i="1"/>
  <c r="B204" i="1"/>
  <c r="C203" i="1"/>
  <c r="B203" i="1"/>
  <c r="C202" i="1"/>
  <c r="B202" i="1"/>
  <c r="C201" i="1"/>
  <c r="B201" i="1"/>
  <c r="U200" i="1"/>
  <c r="C200" i="1"/>
  <c r="B200" i="1"/>
  <c r="C199" i="1"/>
  <c r="B199" i="1"/>
  <c r="U198" i="1"/>
  <c r="C198" i="1"/>
  <c r="B198" i="1"/>
  <c r="C197" i="1"/>
  <c r="B197" i="1"/>
  <c r="U196" i="1"/>
  <c r="C196" i="1"/>
  <c r="B196" i="1"/>
  <c r="U195" i="1"/>
  <c r="C195" i="1"/>
  <c r="B195" i="1"/>
  <c r="U194" i="1"/>
  <c r="C194" i="1"/>
  <c r="B194" i="1"/>
  <c r="C193" i="1"/>
  <c r="B193" i="1"/>
  <c r="C192" i="1"/>
  <c r="B192" i="1"/>
  <c r="C191" i="1"/>
  <c r="B191" i="1"/>
  <c r="C190" i="1"/>
  <c r="B190" i="1"/>
  <c r="C189" i="1"/>
  <c r="B189" i="1"/>
  <c r="U188" i="1"/>
  <c r="C188" i="1"/>
  <c r="B188" i="1"/>
  <c r="U187" i="1"/>
  <c r="C187" i="1"/>
  <c r="B187" i="1"/>
  <c r="C186" i="1"/>
  <c r="B186" i="1"/>
  <c r="C185" i="1"/>
  <c r="B185" i="1"/>
  <c r="U184" i="1"/>
  <c r="C184" i="1"/>
  <c r="B184" i="1"/>
  <c r="U183" i="1"/>
  <c r="C183" i="1"/>
  <c r="B183" i="1"/>
  <c r="C182" i="1"/>
  <c r="B182" i="1"/>
  <c r="C181" i="1"/>
  <c r="B181" i="1"/>
  <c r="C180" i="1"/>
  <c r="B180" i="1"/>
  <c r="C179" i="1"/>
  <c r="B179" i="1"/>
  <c r="C178" i="1"/>
  <c r="B178" i="1"/>
  <c r="C177" i="1"/>
  <c r="B177" i="1"/>
  <c r="C176" i="1"/>
  <c r="B176" i="1"/>
  <c r="C175" i="1"/>
  <c r="B175" i="1"/>
  <c r="C174" i="1"/>
  <c r="B174" i="1"/>
  <c r="C173" i="1"/>
  <c r="B173" i="1"/>
  <c r="C172" i="1"/>
  <c r="B172" i="1"/>
  <c r="C171" i="1"/>
  <c r="B171" i="1"/>
  <c r="C170" i="1"/>
  <c r="B170" i="1"/>
  <c r="C169" i="1"/>
  <c r="B169" i="1"/>
  <c r="C168" i="1"/>
  <c r="B168" i="1"/>
  <c r="C167" i="1"/>
  <c r="B167" i="1"/>
  <c r="C166" i="1"/>
  <c r="B166" i="1"/>
  <c r="C165" i="1"/>
  <c r="B165" i="1"/>
  <c r="C164" i="1"/>
  <c r="B164" i="1"/>
  <c r="C163" i="1"/>
  <c r="B163" i="1"/>
  <c r="C162" i="1"/>
  <c r="B162" i="1"/>
  <c r="C161" i="1"/>
  <c r="B161" i="1"/>
  <c r="C160" i="1"/>
  <c r="B160" i="1"/>
  <c r="C159" i="1"/>
  <c r="B159" i="1"/>
  <c r="C158" i="1"/>
  <c r="B158" i="1"/>
  <c r="C157" i="1"/>
  <c r="B157" i="1"/>
  <c r="C156" i="1"/>
  <c r="B156" i="1"/>
  <c r="C155" i="1"/>
  <c r="B155" i="1"/>
  <c r="C154" i="1"/>
  <c r="B154" i="1"/>
  <c r="C153" i="1"/>
  <c r="B153" i="1"/>
  <c r="C152" i="1"/>
  <c r="B152" i="1"/>
  <c r="C151" i="1"/>
  <c r="B151" i="1"/>
  <c r="C150" i="1"/>
  <c r="B150" i="1"/>
  <c r="C149" i="1"/>
  <c r="B149" i="1"/>
  <c r="C148" i="1"/>
  <c r="B148" i="1"/>
  <c r="C147" i="1"/>
  <c r="B147" i="1"/>
  <c r="C146" i="1"/>
  <c r="B146" i="1"/>
  <c r="C145" i="1"/>
  <c r="B145" i="1"/>
  <c r="C144" i="1"/>
  <c r="B144" i="1"/>
  <c r="C143" i="1"/>
  <c r="B143" i="1"/>
  <c r="C142" i="1"/>
  <c r="B142" i="1"/>
  <c r="C141" i="1"/>
  <c r="B141" i="1"/>
  <c r="C140" i="1"/>
  <c r="B140" i="1"/>
  <c r="C139" i="1"/>
  <c r="B139" i="1"/>
  <c r="C138" i="1"/>
  <c r="B138" i="1"/>
  <c r="C137" i="1"/>
  <c r="B137" i="1"/>
  <c r="C136" i="1"/>
  <c r="B136" i="1"/>
  <c r="C135" i="1"/>
  <c r="B135" i="1"/>
  <c r="C134" i="1"/>
  <c r="B134" i="1"/>
  <c r="C133" i="1"/>
  <c r="B133" i="1"/>
  <c r="C132" i="1"/>
  <c r="B132" i="1"/>
  <c r="C131" i="1"/>
  <c r="B131" i="1"/>
  <c r="C130" i="1"/>
  <c r="B130" i="1"/>
  <c r="C129" i="1"/>
  <c r="B129" i="1"/>
  <c r="C128" i="1"/>
  <c r="B128" i="1"/>
  <c r="C127" i="1"/>
  <c r="B127" i="1"/>
  <c r="C126" i="1"/>
  <c r="B126" i="1"/>
  <c r="C125" i="1"/>
  <c r="B125" i="1"/>
  <c r="C124" i="1"/>
  <c r="B124" i="1"/>
  <c r="C123" i="1"/>
  <c r="B123" i="1"/>
  <c r="C122" i="1"/>
  <c r="B122" i="1"/>
  <c r="C121" i="1"/>
  <c r="B121" i="1"/>
  <c r="C120" i="1"/>
  <c r="B120" i="1"/>
  <c r="C119" i="1"/>
  <c r="B119" i="1"/>
  <c r="C118" i="1"/>
  <c r="B118" i="1"/>
  <c r="C117" i="1"/>
  <c r="B117" i="1"/>
  <c r="C116" i="1"/>
  <c r="B116" i="1"/>
  <c r="C115" i="1"/>
  <c r="B115" i="1"/>
  <c r="C114" i="1"/>
  <c r="B114" i="1"/>
  <c r="C113" i="1"/>
  <c r="B113" i="1"/>
  <c r="C112" i="1"/>
  <c r="B112" i="1"/>
  <c r="C111" i="1"/>
  <c r="B111" i="1"/>
  <c r="C110" i="1"/>
  <c r="B110" i="1"/>
  <c r="C109" i="1"/>
  <c r="B109" i="1"/>
  <c r="C108" i="1"/>
  <c r="B108" i="1"/>
  <c r="C107" i="1"/>
  <c r="B107" i="1"/>
  <c r="C106" i="1"/>
  <c r="B106" i="1"/>
  <c r="C105" i="1"/>
  <c r="B105" i="1"/>
  <c r="C104" i="1"/>
  <c r="B104" i="1"/>
  <c r="C103" i="1"/>
  <c r="B103" i="1"/>
  <c r="C102" i="1"/>
  <c r="B102" i="1"/>
  <c r="C101" i="1"/>
  <c r="B101" i="1"/>
  <c r="C100" i="1"/>
  <c r="B100" i="1"/>
  <c r="C99" i="1"/>
  <c r="B99" i="1"/>
  <c r="C98" i="1"/>
  <c r="B98" i="1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W30" i="1"/>
  <c r="C30" i="1"/>
  <c r="B30" i="1"/>
  <c r="W29" i="1"/>
  <c r="C29" i="1"/>
  <c r="B29" i="1"/>
  <c r="W28" i="1"/>
  <c r="C28" i="1"/>
  <c r="B28" i="1"/>
  <c r="W27" i="1"/>
  <c r="C27" i="1"/>
  <c r="B27" i="1"/>
  <c r="W26" i="1"/>
  <c r="C26" i="1"/>
  <c r="B26" i="1"/>
  <c r="W25" i="1"/>
  <c r="C25" i="1"/>
  <c r="B25" i="1"/>
  <c r="W24" i="1"/>
  <c r="C24" i="1"/>
  <c r="B24" i="1"/>
  <c r="W23" i="1"/>
  <c r="C23" i="1"/>
  <c r="B23" i="1"/>
  <c r="W22" i="1"/>
  <c r="C22" i="1"/>
  <c r="B22" i="1"/>
  <c r="W21" i="1"/>
  <c r="C21" i="1"/>
  <c r="B21" i="1"/>
  <c r="W20" i="1"/>
  <c r="C20" i="1"/>
  <c r="B20" i="1"/>
  <c r="C19" i="1"/>
  <c r="B19" i="1"/>
  <c r="W18" i="1"/>
  <c r="C18" i="1"/>
  <c r="B18" i="1"/>
  <c r="W17" i="1"/>
  <c r="C17" i="1"/>
  <c r="B17" i="1"/>
  <c r="W16" i="1"/>
  <c r="C16" i="1"/>
  <c r="B16" i="1"/>
  <c r="W15" i="1"/>
  <c r="C15" i="1"/>
  <c r="B15" i="1"/>
  <c r="W14" i="1"/>
  <c r="C14" i="1"/>
  <c r="B14" i="1"/>
  <c r="W13" i="1"/>
  <c r="C13" i="1"/>
  <c r="B13" i="1"/>
  <c r="W12" i="1"/>
  <c r="C12" i="1"/>
  <c r="B12" i="1"/>
  <c r="W11" i="1"/>
  <c r="C11" i="1"/>
  <c r="B11" i="1"/>
  <c r="C10" i="1"/>
  <c r="B10" i="1"/>
  <c r="W9" i="1"/>
  <c r="C9" i="1"/>
  <c r="B9" i="1"/>
  <c r="W8" i="1"/>
  <c r="C8" i="1"/>
  <c r="B8" i="1"/>
  <c r="W7" i="1"/>
  <c r="C7" i="1"/>
  <c r="B7" i="1"/>
  <c r="W6" i="1"/>
  <c r="C6" i="1"/>
  <c r="B6" i="1"/>
  <c r="W5" i="1"/>
  <c r="C5" i="1"/>
  <c r="B5" i="1"/>
  <c r="W4" i="1"/>
  <c r="C4" i="1"/>
  <c r="B4" i="1"/>
  <c r="W3" i="1"/>
  <c r="C3" i="1"/>
  <c r="B3" i="1"/>
  <c r="W2" i="1"/>
  <c r="C2" i="1"/>
  <c r="B2" i="1"/>
</calcChain>
</file>

<file path=xl/comments1.xml><?xml version="1.0" encoding="utf-8"?>
<comments xmlns="http://schemas.openxmlformats.org/spreadsheetml/2006/main">
  <authors>
    <author>dg16005</author>
    <author>Jacob Gorman</author>
  </authors>
  <commentList>
    <comment ref="C1" authorId="0">
      <text>
        <r>
          <rPr>
            <b/>
            <sz val="8"/>
            <color indexed="81"/>
            <rFont val="Tahoma"/>
            <family val="2"/>
          </rPr>
          <t>dg16005:</t>
        </r>
        <r>
          <rPr>
            <sz val="8"/>
            <color indexed="81"/>
            <rFont val="Tahoma"/>
            <family val="2"/>
          </rPr>
          <t xml:space="preserve">
includes Corporate Filing Fees before 10/1995</t>
        </r>
      </text>
    </comment>
    <comment ref="P1" authorId="1">
      <text>
        <r>
          <rPr>
            <b/>
            <sz val="8"/>
            <color indexed="81"/>
            <rFont val="Tahoma"/>
            <family val="2"/>
          </rPr>
          <t>Jacob Gorman:</t>
        </r>
        <r>
          <rPr>
            <sz val="8"/>
            <color indexed="81"/>
            <rFont val="Tahoma"/>
            <family val="2"/>
          </rPr>
          <t xml:space="preserve">
starting february 2002, TCA is seperated from gross receipts..for comparison, add TVA and gross receipts to make eaual</t>
        </r>
      </text>
    </comment>
    <comment ref="U1" authorId="0">
      <text>
        <r>
          <rPr>
            <b/>
            <sz val="8"/>
            <color indexed="81"/>
            <rFont val="Tahoma"/>
            <family val="2"/>
          </rPr>
          <t>dg16005:</t>
        </r>
        <r>
          <rPr>
            <sz val="8"/>
            <color indexed="81"/>
            <rFont val="Tahoma"/>
            <family val="2"/>
          </rPr>
          <t xml:space="preserve">
not incl'd in total B4 11/82</t>
        </r>
      </text>
    </comment>
    <comment ref="W1" authorId="0">
      <text>
        <r>
          <rPr>
            <b/>
            <sz val="8"/>
            <color indexed="81"/>
            <rFont val="Tahoma"/>
            <family val="2"/>
          </rPr>
          <t>dg16005:</t>
        </r>
        <r>
          <rPr>
            <sz val="8"/>
            <color indexed="81"/>
            <rFont val="Tahoma"/>
            <family val="2"/>
          </rPr>
          <t xml:space="preserve">
''Other' before 6/1979
Includes Unauth. Subst. After Jan '05
</t>
        </r>
      </text>
    </comment>
  </commentList>
</comments>
</file>

<file path=xl/sharedStrings.xml><?xml version="1.0" encoding="utf-8"?>
<sst xmlns="http://schemas.openxmlformats.org/spreadsheetml/2006/main" count="434" uniqueCount="26">
  <si>
    <t>DATE</t>
  </si>
  <si>
    <t>sasdate</t>
  </si>
  <si>
    <t>Excise</t>
  </si>
  <si>
    <t xml:space="preserve">Income    </t>
  </si>
  <si>
    <t>Inheritance,
Gift &amp; Estate</t>
  </si>
  <si>
    <t>Gasoline</t>
  </si>
  <si>
    <t>Petroleum 
Special Tax</t>
  </si>
  <si>
    <t>Tobacco</t>
  </si>
  <si>
    <t>Beer</t>
  </si>
  <si>
    <t>Motor Vehicle
 Registration</t>
  </si>
  <si>
    <t>Motor Vehicle 
Title</t>
  </si>
  <si>
    <t>Mixed Drinks</t>
  </si>
  <si>
    <t>Business</t>
  </si>
  <si>
    <t>Privilege</t>
  </si>
  <si>
    <t>Gross Receipts</t>
  </si>
  <si>
    <t>Alcoholic 
Beverage</t>
  </si>
  <si>
    <t>Sales and Use</t>
  </si>
  <si>
    <t>Motor Vehicle 
 Fuel</t>
  </si>
  <si>
    <t>Coal 
Severance</t>
  </si>
  <si>
    <t>Gas &amp; Oil 
Severance</t>
  </si>
  <si>
    <t>Total</t>
  </si>
  <si>
    <t xml:space="preserve">Franchise </t>
  </si>
  <si>
    <t>USub</t>
  </si>
  <si>
    <t>Coin 
Amusement</t>
  </si>
  <si>
    <t>TVA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</si>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</sst>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mmm\-yy;@"/>
  </numFmts>
  <fonts count="7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36">
    <xf numFmtId="0" fontId="0" fillId="0" borderId="0" xfId="0"/>
    <xf numFmtId="164" fontId="4" fillId="0" borderId="0" xfId="1" applyNumberFormat="1" applyFont="1" applyBorder="1"/>
    <xf numFmtId="0" fontId="4" fillId="0" borderId="0" xfId="1" applyNumberFormat="1" applyFont="1"/>
    <xf numFmtId="43" fontId="4" fillId="0" borderId="0" xfId="1" applyFont="1" applyBorder="1"/>
    <xf numFmtId="43" fontId="4" fillId="0" borderId="0" xfId="1" applyFont="1" applyBorder="1" applyAlignment="1">
      <alignment wrapText="1"/>
    </xf>
    <xf numFmtId="43" fontId="4" fillId="0" borderId="0" xfId="1" applyNumberFormat="1" applyFont="1" applyBorder="1" applyAlignment="1">
      <alignment wrapText="1"/>
    </xf>
    <xf numFmtId="0" fontId="4" fillId="0" borderId="0" xfId="0" applyFont="1"/>
    <xf numFmtId="164" fontId="4" fillId="0" borderId="0" xfId="1" applyNumberFormat="1" applyFont="1"/>
    <xf numFmtId="43" fontId="4" fillId="0" borderId="0" xfId="1" applyFont="1" applyFill="1" applyBorder="1"/>
    <xf numFmtId="43" fontId="4" fillId="0" borderId="0" xfId="1" applyFont="1" applyFill="1" applyBorder="1" applyAlignment="1">
      <alignment wrapText="1"/>
    </xf>
    <xf numFmtId="43" fontId="4" fillId="0" borderId="0" xfId="1" applyFont="1"/>
    <xf numFmtId="43" fontId="4" fillId="0" borderId="0" xfId="1" applyFont="1" applyAlignment="1">
      <alignment wrapText="1"/>
    </xf>
    <xf numFmtId="43" fontId="4" fillId="0" borderId="0" xfId="0" applyNumberFormat="1" applyFont="1" applyAlignment="1">
      <alignment wrapText="1"/>
    </xf>
    <xf numFmtId="43" fontId="4" fillId="0" borderId="0" xfId="1" applyNumberFormat="1" applyFont="1"/>
    <xf numFmtId="43" fontId="4" fillId="0" borderId="0" xfId="0" applyNumberFormat="1" applyFont="1"/>
    <xf numFmtId="164" fontId="4" fillId="0" borderId="0" xfId="0" applyNumberFormat="1" applyFont="1"/>
    <xf numFmtId="1" fontId="4" fillId="0" borderId="0" xfId="1" applyNumberFormat="1" applyFont="1"/>
    <xf numFmtId="43" fontId="4" fillId="0" borderId="0" xfId="1" applyNumberFormat="1" applyFont="1" applyBorder="1"/>
    <xf numFmtId="164" fontId="4" fillId="0" borderId="0" xfId="0" applyNumberFormat="1" applyFont="1" applyFill="1"/>
    <xf numFmtId="1" fontId="4" fillId="0" borderId="0" xfId="1" applyNumberFormat="1" applyFont="1" applyFill="1"/>
    <xf numFmtId="43" fontId="4" fillId="0" borderId="0" xfId="1" applyNumberFormat="1" applyFont="1" applyFill="1"/>
    <xf numFmtId="43" fontId="4" fillId="0" borderId="0" xfId="1" applyFont="1" applyFill="1"/>
    <xf numFmtId="43" fontId="4" fillId="0" borderId="0" xfId="0" applyNumberFormat="1" applyFont="1" applyFill="1"/>
    <xf numFmtId="4" fontId="4" fillId="0" borderId="0" xfId="1" applyNumberFormat="1" applyFont="1" applyBorder="1" applyAlignment="1">
      <alignment wrapText="1"/>
    </xf>
    <xf numFmtId="4" fontId="4" fillId="0" borderId="0" xfId="1" applyNumberFormat="1" applyFont="1" applyFill="1" applyBorder="1" applyAlignment="1">
      <alignment wrapText="1"/>
    </xf>
    <xf numFmtId="4" fontId="4" fillId="0" borderId="0" xfId="1" applyNumberFormat="1" applyFont="1"/>
    <xf numFmtId="4" fontId="4" fillId="0" borderId="0" xfId="1" applyNumberFormat="1" applyFont="1" applyFill="1"/>
    <xf numFmtId="0" fontId="4" fillId="0" borderId="0" xfId="0" applyFont="1" applyFill="1"/>
    <xf numFmtId="4" fontId="4" fillId="0" borderId="0" xfId="0" applyNumberFormat="1" applyFont="1" applyFill="1"/>
    <xf numFmtId="39" fontId="4" fillId="0" borderId="0" xfId="0" applyNumberFormat="1" applyFont="1" applyFill="1"/>
    <xf numFmtId="164" fontId="6" fillId="0" borderId="0" xfId="2" applyNumberFormat="1" applyFont="1" applyFill="1"/>
    <xf numFmtId="4" fontId="5" fillId="0" borderId="0" xfId="2" applyNumberFormat="1" applyFill="1"/>
    <xf numFmtId="4" fontId="6" fillId="0" borderId="0" xfId="2" applyNumberFormat="1" applyFont="1" applyFill="1"/>
    <xf numFmtId="3" fontId="4" fillId="0" borderId="0" xfId="0" applyNumberFormat="1" applyFont="1" applyFill="1"/>
    <xf numFmtId="4" fontId="4" fillId="0" borderId="0" xfId="0" applyNumberFormat="1" applyFont="1"/>
    <xf numFmtId="3" fontId="4" fillId="0" borderId="0" xfId="0" applyNumberFormat="1" applyFont="1"/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C619"/>
  <sheetViews>
    <sheetView tabSelected="1" workbookViewId="0">
      <pane xSplit="1" ySplit="1" topLeftCell="B600" activePane="bottomRight" state="frozen"/>
      <selection pane="topRight" activeCell="B1" sqref="B1"/>
      <selection pane="bottomLeft" activeCell="A3" sqref="A3"/>
      <selection pane="bottomRight" activeCell="B619" sqref="B619"/>
    </sheetView>
  </sheetViews>
  <sheetFormatPr defaultColWidth="9" defaultRowHeight="11.6" x14ac:dyDescent="0.3"/>
  <cols>
    <col min="1" max="1" width="8.84375" style="15" customWidth="1"/>
    <col min="2" max="2" width="7.53515625" style="6" customWidth="1"/>
    <col min="3" max="3" width="16.3828125" style="6" customWidth="1"/>
    <col min="4" max="5" width="16" style="6" bestFit="1" customWidth="1"/>
    <col min="6" max="7" width="15" style="6" bestFit="1" customWidth="1"/>
    <col min="8" max="8" width="14" style="6" bestFit="1" customWidth="1"/>
    <col min="9" max="9" width="15" style="6" bestFit="1" customWidth="1"/>
    <col min="10" max="10" width="14" style="6" bestFit="1" customWidth="1"/>
    <col min="11" max="11" width="15" style="6" bestFit="1" customWidth="1"/>
    <col min="12" max="12" width="13" style="6" bestFit="1" customWidth="1"/>
    <col min="13" max="13" width="14" style="6" bestFit="1" customWidth="1"/>
    <col min="14" max="14" width="15.15234375" style="6" bestFit="1" customWidth="1"/>
    <col min="15" max="15" width="15" style="6" bestFit="1" customWidth="1"/>
    <col min="16" max="16" width="14.69140625" style="6" bestFit="1" customWidth="1"/>
    <col min="17" max="18" width="15" style="6" bestFit="1" customWidth="1"/>
    <col min="19" max="19" width="15.15234375" style="6" bestFit="1" customWidth="1"/>
    <col min="20" max="20" width="16" style="6" bestFit="1" customWidth="1"/>
    <col min="21" max="21" width="14.53515625" style="6" customWidth="1"/>
    <col min="22" max="22" width="11.3828125" style="6" bestFit="1" customWidth="1"/>
    <col min="23" max="23" width="12" style="14" customWidth="1"/>
    <col min="24" max="24" width="10.3828125" style="6" bestFit="1" customWidth="1"/>
    <col min="25" max="25" width="16.69140625" style="6" bestFit="1" customWidth="1"/>
    <col min="26" max="26" width="9" style="6"/>
    <col min="27" max="27" width="21.15234375" style="6" customWidth="1"/>
    <col min="28" max="16384" width="9" style="6"/>
  </cols>
  <sheetData>
    <row r="1" spans="1:25" ht="30" customHeight="1" x14ac:dyDescent="0.3">
      <c r="A1" s="1" t="s">
        <v>0</v>
      </c>
      <c r="B1" s="2" t="s">
        <v>1</v>
      </c>
      <c r="C1" s="3" t="s">
        <v>21</v>
      </c>
      <c r="D1" s="3" t="s">
        <v>2</v>
      </c>
      <c r="E1" s="3" t="s">
        <v>3</v>
      </c>
      <c r="F1" s="4" t="s">
        <v>4</v>
      </c>
      <c r="G1" s="3" t="s">
        <v>5</v>
      </c>
      <c r="H1" s="4" t="s">
        <v>6</v>
      </c>
      <c r="I1" s="3" t="s">
        <v>7</v>
      </c>
      <c r="J1" s="3" t="s">
        <v>8</v>
      </c>
      <c r="K1" s="4" t="s">
        <v>9</v>
      </c>
      <c r="L1" s="4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24</v>
      </c>
      <c r="R1" s="4" t="s">
        <v>15</v>
      </c>
      <c r="S1" s="3" t="s">
        <v>16</v>
      </c>
      <c r="T1" s="4" t="s">
        <v>17</v>
      </c>
      <c r="U1" s="4" t="s">
        <v>18</v>
      </c>
      <c r="V1" s="4" t="s">
        <v>19</v>
      </c>
      <c r="W1" s="5" t="s">
        <v>23</v>
      </c>
      <c r="X1" s="3" t="s">
        <v>22</v>
      </c>
      <c r="Y1" s="3" t="s">
        <v>20</v>
      </c>
    </row>
    <row r="2" spans="1:25" x14ac:dyDescent="0.3">
      <c r="A2" s="7">
        <v>24838</v>
      </c>
      <c r="B2" s="2">
        <f t="shared" ref="B2:B65" si="0">A2-21916</f>
        <v>2922</v>
      </c>
      <c r="C2" s="3">
        <f>604239.77+21110.57</f>
        <v>625350.34</v>
      </c>
      <c r="D2" s="3">
        <v>1718394.38</v>
      </c>
      <c r="E2" s="3">
        <v>274591.56</v>
      </c>
      <c r="F2" s="4">
        <v>876860.89</v>
      </c>
      <c r="G2" s="3">
        <v>8924470.0299999993</v>
      </c>
      <c r="H2" s="4">
        <v>1790222.42</v>
      </c>
      <c r="I2" s="3">
        <v>2943725</v>
      </c>
      <c r="J2" s="3">
        <v>376093.71</v>
      </c>
      <c r="K2" s="4">
        <v>246133.51</v>
      </c>
      <c r="L2" s="3">
        <v>98945.11</v>
      </c>
      <c r="M2" s="3">
        <v>19688.82</v>
      </c>
      <c r="N2" s="3">
        <v>0</v>
      </c>
      <c r="O2" s="34">
        <v>656283.92000000004</v>
      </c>
      <c r="P2" s="34">
        <v>753977.4</v>
      </c>
      <c r="Q2" s="34" t="s">
        <v>25</v>
      </c>
      <c r="R2" s="4">
        <v>1409441.18</v>
      </c>
      <c r="S2" s="3">
        <v>20143168.41</v>
      </c>
      <c r="T2" s="4">
        <v>653855.54</v>
      </c>
      <c r="U2" s="4">
        <v>0</v>
      </c>
      <c r="V2" s="4">
        <v>0</v>
      </c>
      <c r="W2" s="5">
        <f>6917.5+195.64</f>
        <v>7113.14</v>
      </c>
      <c r="X2" s="34"/>
      <c r="Y2" s="3">
        <v>41518315.359999999</v>
      </c>
    </row>
    <row r="3" spans="1:25" x14ac:dyDescent="0.3">
      <c r="A3" s="7">
        <v>24869</v>
      </c>
      <c r="B3" s="2">
        <f t="shared" si="0"/>
        <v>2953</v>
      </c>
      <c r="C3" s="3">
        <f>630940.35+20042.46</f>
        <v>650982.80999999994</v>
      </c>
      <c r="D3" s="3">
        <v>1606248.41</v>
      </c>
      <c r="E3" s="3">
        <v>553162</v>
      </c>
      <c r="F3" s="4">
        <v>891939.23</v>
      </c>
      <c r="G3" s="3">
        <v>8042124.6900000004</v>
      </c>
      <c r="H3" s="4">
        <v>1613040.76</v>
      </c>
      <c r="I3" s="3">
        <v>2573047.19</v>
      </c>
      <c r="J3" s="3">
        <v>385401.74</v>
      </c>
      <c r="K3" s="4">
        <v>200704.95</v>
      </c>
      <c r="L3" s="3">
        <v>109329.28</v>
      </c>
      <c r="M3" s="3">
        <v>22141.37</v>
      </c>
      <c r="N3" s="3">
        <v>0</v>
      </c>
      <c r="O3" s="34">
        <v>764497.84</v>
      </c>
      <c r="P3" s="34">
        <v>669612.28</v>
      </c>
      <c r="Q3" s="34" t="s">
        <v>25</v>
      </c>
      <c r="R3" s="4">
        <v>1149404.53</v>
      </c>
      <c r="S3" s="3">
        <v>15050128.609999999</v>
      </c>
      <c r="T3" s="4">
        <v>796597.15</v>
      </c>
      <c r="U3" s="4">
        <v>0</v>
      </c>
      <c r="V3" s="4">
        <v>0</v>
      </c>
      <c r="W3" s="5">
        <f>948.4+249.85</f>
        <v>1198.25</v>
      </c>
      <c r="X3" s="34"/>
      <c r="Y3" s="3">
        <v>35079561.090000004</v>
      </c>
    </row>
    <row r="4" spans="1:25" x14ac:dyDescent="0.3">
      <c r="A4" s="7">
        <v>24898</v>
      </c>
      <c r="B4" s="2">
        <f t="shared" si="0"/>
        <v>2982</v>
      </c>
      <c r="C4" s="3">
        <f>4040851.25+99406.15</f>
        <v>4140257.4</v>
      </c>
      <c r="D4" s="3">
        <v>13123228.15</v>
      </c>
      <c r="E4" s="3">
        <v>1365621.07</v>
      </c>
      <c r="F4" s="4">
        <v>627245.18000000005</v>
      </c>
      <c r="G4" s="3">
        <v>7364210.1500000004</v>
      </c>
      <c r="H4" s="4">
        <v>1574932.53</v>
      </c>
      <c r="I4" s="3">
        <v>2507847.31</v>
      </c>
      <c r="J4" s="3">
        <v>324395.18</v>
      </c>
      <c r="K4" s="4">
        <v>11519757.48</v>
      </c>
      <c r="L4" s="3">
        <v>241816.94</v>
      </c>
      <c r="M4" s="3">
        <v>33876.57</v>
      </c>
      <c r="N4" s="3">
        <v>0</v>
      </c>
      <c r="O4" s="34">
        <v>703815.15</v>
      </c>
      <c r="P4" s="34">
        <v>590607.73</v>
      </c>
      <c r="Q4" s="34" t="s">
        <v>25</v>
      </c>
      <c r="R4" s="4">
        <v>1747983.32</v>
      </c>
      <c r="S4" s="3">
        <v>15584624.859999999</v>
      </c>
      <c r="T4" s="4">
        <v>761286.61</v>
      </c>
      <c r="U4" s="4">
        <v>0</v>
      </c>
      <c r="V4" s="4">
        <v>0</v>
      </c>
      <c r="W4" s="5">
        <f>37.5+247.78</f>
        <v>285.27999999999997</v>
      </c>
      <c r="X4" s="34"/>
      <c r="Y4" s="3">
        <v>62211790.909999996</v>
      </c>
    </row>
    <row r="5" spans="1:25" x14ac:dyDescent="0.3">
      <c r="A5" s="7">
        <v>24929</v>
      </c>
      <c r="B5" s="2">
        <f t="shared" si="0"/>
        <v>3013</v>
      </c>
      <c r="C5" s="3">
        <f>5030017.31+76684.39</f>
        <v>5106701.6999999993</v>
      </c>
      <c r="D5" s="3">
        <v>19231243.93</v>
      </c>
      <c r="E5" s="3">
        <v>7555217.1799999997</v>
      </c>
      <c r="F5" s="4">
        <v>1740416.19</v>
      </c>
      <c r="G5" s="3">
        <v>8227841.9800000004</v>
      </c>
      <c r="H5" s="4">
        <v>1601537.95</v>
      </c>
      <c r="I5" s="3">
        <v>2957613.65</v>
      </c>
      <c r="J5" s="3">
        <v>424522.87</v>
      </c>
      <c r="K5" s="4">
        <v>26859643.27</v>
      </c>
      <c r="L5" s="3">
        <v>320724.84000000003</v>
      </c>
      <c r="M5" s="3">
        <v>34268.32</v>
      </c>
      <c r="N5" s="3">
        <v>0</v>
      </c>
      <c r="O5" s="34">
        <v>797564.35</v>
      </c>
      <c r="P5" s="34">
        <v>704307.61</v>
      </c>
      <c r="Q5" s="34" t="s">
        <v>25</v>
      </c>
      <c r="R5" s="4">
        <v>644075.23</v>
      </c>
      <c r="S5" s="3">
        <v>17141576.260000002</v>
      </c>
      <c r="T5" s="4">
        <v>824698.69</v>
      </c>
      <c r="U5" s="4">
        <v>0</v>
      </c>
      <c r="V5" s="4">
        <v>0</v>
      </c>
      <c r="W5" s="5">
        <f>302.26+297.5</f>
        <v>599.76</v>
      </c>
      <c r="X5" s="34"/>
      <c r="Y5" s="3">
        <v>94172553.780000001</v>
      </c>
    </row>
    <row r="6" spans="1:25" x14ac:dyDescent="0.3">
      <c r="A6" s="7">
        <v>24959</v>
      </c>
      <c r="B6" s="2">
        <f t="shared" si="0"/>
        <v>3043</v>
      </c>
      <c r="C6" s="3">
        <f>431203.94+20555.58</f>
        <v>451759.52</v>
      </c>
      <c r="D6" s="3">
        <v>1352226.39</v>
      </c>
      <c r="E6" s="3">
        <v>100903.35</v>
      </c>
      <c r="F6" s="4">
        <v>1447140.42</v>
      </c>
      <c r="G6" s="3">
        <v>8867902.5299999993</v>
      </c>
      <c r="H6" s="4">
        <v>1579098.54</v>
      </c>
      <c r="I6" s="3">
        <v>2971267.29</v>
      </c>
      <c r="J6" s="3">
        <v>377721.13</v>
      </c>
      <c r="K6" s="4">
        <v>6206629.5300000003</v>
      </c>
      <c r="L6" s="3">
        <v>189668.22</v>
      </c>
      <c r="M6" s="3">
        <v>30631.1</v>
      </c>
      <c r="N6" s="3">
        <v>0</v>
      </c>
      <c r="O6" s="34">
        <v>740632.14</v>
      </c>
      <c r="P6" s="34">
        <v>1010359.1</v>
      </c>
      <c r="Q6" s="34" t="s">
        <v>25</v>
      </c>
      <c r="R6" s="4">
        <v>1380491.31</v>
      </c>
      <c r="S6" s="3">
        <v>17481873.140000001</v>
      </c>
      <c r="T6" s="4">
        <v>766202.53</v>
      </c>
      <c r="U6" s="4">
        <v>0</v>
      </c>
      <c r="V6" s="4">
        <v>0</v>
      </c>
      <c r="W6" s="5">
        <f>646.18+90</f>
        <v>736.18</v>
      </c>
      <c r="X6" s="34"/>
      <c r="Y6" s="3">
        <v>44955242.420000002</v>
      </c>
    </row>
    <row r="7" spans="1:25" x14ac:dyDescent="0.3">
      <c r="A7" s="7">
        <v>24990</v>
      </c>
      <c r="B7" s="2">
        <f t="shared" si="0"/>
        <v>3074</v>
      </c>
      <c r="C7" s="3">
        <f>630459.41+26407.66</f>
        <v>656867.07000000007</v>
      </c>
      <c r="D7" s="3">
        <v>2047871.45</v>
      </c>
      <c r="E7" s="3">
        <v>89697.69</v>
      </c>
      <c r="F7" s="4">
        <v>942878.74</v>
      </c>
      <c r="G7" s="3">
        <v>9327324.5099999998</v>
      </c>
      <c r="H7" s="4">
        <v>1796838.96</v>
      </c>
      <c r="I7" s="3">
        <v>2730174.87</v>
      </c>
      <c r="J7" s="3">
        <v>481103.09</v>
      </c>
      <c r="K7" s="4">
        <v>2005888.68</v>
      </c>
      <c r="L7" s="3">
        <v>164394.78</v>
      </c>
      <c r="M7" s="3">
        <v>37232.28</v>
      </c>
      <c r="N7" s="3">
        <v>0</v>
      </c>
      <c r="O7" s="34">
        <v>750169.32</v>
      </c>
      <c r="P7" s="34">
        <v>1291423.73</v>
      </c>
      <c r="Q7" s="34" t="s">
        <v>25</v>
      </c>
      <c r="R7" s="4">
        <v>1371254.04</v>
      </c>
      <c r="S7" s="3">
        <v>18351622.18</v>
      </c>
      <c r="T7" s="4">
        <v>789779.74</v>
      </c>
      <c r="U7" s="4">
        <v>0</v>
      </c>
      <c r="V7" s="4">
        <v>0</v>
      </c>
      <c r="W7" s="5">
        <f>129.48+147.5</f>
        <v>276.98</v>
      </c>
      <c r="X7" s="34"/>
      <c r="Y7" s="3">
        <v>42834798.109999999</v>
      </c>
    </row>
    <row r="8" spans="1:25" x14ac:dyDescent="0.3">
      <c r="A8" s="7">
        <v>25020</v>
      </c>
      <c r="B8" s="2">
        <f t="shared" si="0"/>
        <v>3104</v>
      </c>
      <c r="C8" s="3">
        <f>990571.74+27909.05</f>
        <v>1018480.79</v>
      </c>
      <c r="D8" s="3">
        <v>4505371.6500000004</v>
      </c>
      <c r="E8" s="3">
        <v>32809.68</v>
      </c>
      <c r="F8" s="4">
        <v>935494.45</v>
      </c>
      <c r="G8" s="3">
        <v>9004278.8800000008</v>
      </c>
      <c r="H8" s="4">
        <v>1615379.14</v>
      </c>
      <c r="I8" s="3">
        <v>3194140.69</v>
      </c>
      <c r="J8" s="3">
        <v>486881.65</v>
      </c>
      <c r="K8" s="4">
        <v>1041897.18</v>
      </c>
      <c r="L8" s="3">
        <v>162623.92000000001</v>
      </c>
      <c r="M8" s="3">
        <v>42725.46</v>
      </c>
      <c r="N8" s="3">
        <v>0</v>
      </c>
      <c r="O8" s="34">
        <v>838414.27</v>
      </c>
      <c r="P8" s="34">
        <v>2414541</v>
      </c>
      <c r="Q8" s="34" t="s">
        <v>25</v>
      </c>
      <c r="R8" s="4">
        <v>798923.31</v>
      </c>
      <c r="S8" s="3">
        <v>18888567.059999999</v>
      </c>
      <c r="T8" s="4">
        <v>864078.93</v>
      </c>
      <c r="U8" s="4">
        <v>0</v>
      </c>
      <c r="V8" s="4">
        <v>0</v>
      </c>
      <c r="W8" s="5">
        <f>62.5+232.89</f>
        <v>295.39</v>
      </c>
      <c r="X8" s="34"/>
      <c r="Y8" s="3">
        <v>45844903.450000003</v>
      </c>
    </row>
    <row r="9" spans="1:25" x14ac:dyDescent="0.3">
      <c r="A9" s="7">
        <v>25051</v>
      </c>
      <c r="B9" s="2">
        <f t="shared" si="0"/>
        <v>3135</v>
      </c>
      <c r="C9" s="3">
        <f>391014.04+16457.58</f>
        <v>407471.62</v>
      </c>
      <c r="D9" s="3">
        <v>1324131.06</v>
      </c>
      <c r="E9" s="3">
        <v>26365.29</v>
      </c>
      <c r="F9" s="4">
        <v>1235608.97</v>
      </c>
      <c r="G9" s="3">
        <v>9776585.1099999994</v>
      </c>
      <c r="H9" s="4">
        <v>1861566.07</v>
      </c>
      <c r="I9" s="3">
        <v>3014733.97</v>
      </c>
      <c r="J9" s="3">
        <v>532022.96</v>
      </c>
      <c r="K9" s="4">
        <v>577805.47</v>
      </c>
      <c r="L9" s="3">
        <v>157915.85</v>
      </c>
      <c r="M9" s="3">
        <v>38416.61</v>
      </c>
      <c r="N9" s="3">
        <v>0</v>
      </c>
      <c r="O9" s="34">
        <v>842426.83</v>
      </c>
      <c r="P9" s="34">
        <v>1230804.27</v>
      </c>
      <c r="Q9" s="34" t="s">
        <v>25</v>
      </c>
      <c r="R9" s="4">
        <v>1061696.49</v>
      </c>
      <c r="S9" s="3">
        <v>18407433.73</v>
      </c>
      <c r="T9" s="4">
        <v>868702.62</v>
      </c>
      <c r="U9" s="4">
        <v>0</v>
      </c>
      <c r="V9" s="4">
        <v>0</v>
      </c>
      <c r="W9" s="23">
        <f>-90+131.36</f>
        <v>41.360000000000014</v>
      </c>
      <c r="X9" s="34"/>
      <c r="Y9" s="3">
        <v>41363728.280000001</v>
      </c>
    </row>
    <row r="10" spans="1:25" x14ac:dyDescent="0.3">
      <c r="A10" s="7">
        <v>25082</v>
      </c>
      <c r="B10" s="2">
        <f t="shared" si="0"/>
        <v>3166</v>
      </c>
      <c r="C10" s="3">
        <f>1018692.87+32144.28</f>
        <v>1050837.1499999999</v>
      </c>
      <c r="D10" s="3">
        <v>3233100.25</v>
      </c>
      <c r="E10" s="3">
        <v>17666.990000000002</v>
      </c>
      <c r="F10" s="4">
        <v>1006684.2</v>
      </c>
      <c r="G10" s="3">
        <v>10149514.82</v>
      </c>
      <c r="H10" s="4">
        <v>1906092.1</v>
      </c>
      <c r="I10" s="3">
        <v>2850483.82</v>
      </c>
      <c r="J10" s="3">
        <v>533920.22</v>
      </c>
      <c r="K10" s="4">
        <v>826260.61</v>
      </c>
      <c r="L10" s="3">
        <v>133175.32999999999</v>
      </c>
      <c r="M10" s="3">
        <v>47005.79</v>
      </c>
      <c r="N10" s="3">
        <v>0</v>
      </c>
      <c r="O10" s="34">
        <v>803354.62</v>
      </c>
      <c r="P10" s="34">
        <v>682112.54</v>
      </c>
      <c r="Q10" s="34" t="s">
        <v>25</v>
      </c>
      <c r="R10" s="4">
        <v>1247462.48</v>
      </c>
      <c r="S10" s="3">
        <v>19434614.350000001</v>
      </c>
      <c r="T10" s="4">
        <v>855243.72</v>
      </c>
      <c r="U10" s="4">
        <v>0</v>
      </c>
      <c r="V10" s="4">
        <v>0</v>
      </c>
      <c r="W10" s="23">
        <v>140.84</v>
      </c>
      <c r="X10" s="34"/>
      <c r="Y10" s="3">
        <v>44777669.829999998</v>
      </c>
    </row>
    <row r="11" spans="1:25" x14ac:dyDescent="0.3">
      <c r="A11" s="7">
        <v>25112</v>
      </c>
      <c r="B11" s="2">
        <f t="shared" si="0"/>
        <v>3196</v>
      </c>
      <c r="C11" s="3">
        <f>649999.02+21833.25</f>
        <v>671832.27</v>
      </c>
      <c r="D11" s="3">
        <v>2216204.19</v>
      </c>
      <c r="E11" s="3">
        <v>26251.52</v>
      </c>
      <c r="F11" s="4">
        <v>1236676.83</v>
      </c>
      <c r="G11" s="3">
        <v>9542952.8200000003</v>
      </c>
      <c r="H11" s="4">
        <v>1833217.61</v>
      </c>
      <c r="I11" s="3">
        <v>2907560.49</v>
      </c>
      <c r="J11" s="3">
        <v>427907</v>
      </c>
      <c r="K11" s="4">
        <v>676870.04</v>
      </c>
      <c r="L11" s="3">
        <v>169116.27</v>
      </c>
      <c r="M11" s="3">
        <v>46313.120000000003</v>
      </c>
      <c r="N11" s="3">
        <v>0</v>
      </c>
      <c r="O11" s="34">
        <v>838465.78</v>
      </c>
      <c r="P11" s="34">
        <v>946814.91</v>
      </c>
      <c r="Q11" s="34" t="s">
        <v>25</v>
      </c>
      <c r="R11" s="4">
        <v>1742705.53</v>
      </c>
      <c r="S11" s="3">
        <v>18096820.550000001</v>
      </c>
      <c r="T11" s="4">
        <v>825584.09</v>
      </c>
      <c r="U11" s="4">
        <v>0</v>
      </c>
      <c r="V11" s="4">
        <v>0</v>
      </c>
      <c r="W11" s="23">
        <f>37.5+376.78</f>
        <v>414.28</v>
      </c>
      <c r="X11" s="34"/>
      <c r="Y11" s="3">
        <v>42205707.299999997</v>
      </c>
    </row>
    <row r="12" spans="1:25" x14ac:dyDescent="0.3">
      <c r="A12" s="7">
        <v>25143</v>
      </c>
      <c r="B12" s="2">
        <f t="shared" si="0"/>
        <v>3227</v>
      </c>
      <c r="C12" s="3">
        <f>386287.16+13549.64</f>
        <v>399836.8</v>
      </c>
      <c r="D12" s="3">
        <v>1436555.2</v>
      </c>
      <c r="E12" s="3">
        <v>34280.04</v>
      </c>
      <c r="F12" s="4">
        <v>2596950.14</v>
      </c>
      <c r="G12" s="3">
        <v>8748401.0399999991</v>
      </c>
      <c r="H12" s="4">
        <v>1718881.96</v>
      </c>
      <c r="I12" s="3">
        <v>2710691.4</v>
      </c>
      <c r="J12" s="3">
        <v>421975.07</v>
      </c>
      <c r="K12" s="4">
        <v>1099237.18</v>
      </c>
      <c r="L12" s="3">
        <v>147677.6</v>
      </c>
      <c r="M12" s="3">
        <v>65883.66</v>
      </c>
      <c r="N12" s="3">
        <v>0</v>
      </c>
      <c r="O12" s="34">
        <v>795839.95</v>
      </c>
      <c r="P12" s="34">
        <v>744503.68</v>
      </c>
      <c r="Q12" s="34" t="s">
        <v>25</v>
      </c>
      <c r="R12" s="4">
        <v>1685783.88</v>
      </c>
      <c r="S12" s="3">
        <v>18970035.079999998</v>
      </c>
      <c r="T12" s="4">
        <v>1019531.07</v>
      </c>
      <c r="U12" s="4">
        <v>0</v>
      </c>
      <c r="V12" s="4">
        <v>0</v>
      </c>
      <c r="W12" s="23">
        <f>72.5+236.89</f>
        <v>309.39</v>
      </c>
      <c r="X12" s="34"/>
      <c r="Y12" s="3">
        <v>42596373.140000001</v>
      </c>
    </row>
    <row r="13" spans="1:25" x14ac:dyDescent="0.3">
      <c r="A13" s="7">
        <v>25173</v>
      </c>
      <c r="B13" s="2">
        <f t="shared" si="0"/>
        <v>3257</v>
      </c>
      <c r="C13" s="3">
        <f>599825.62+22827.81</f>
        <v>622653.43000000005</v>
      </c>
      <c r="D13" s="3">
        <v>2515768.9900000002</v>
      </c>
      <c r="E13" s="3">
        <v>183032.63</v>
      </c>
      <c r="F13" s="4">
        <v>1892571.97</v>
      </c>
      <c r="G13" s="3">
        <v>9334751.9100000001</v>
      </c>
      <c r="H13" s="4">
        <v>1770827.75</v>
      </c>
      <c r="I13" s="3">
        <v>2992836.52</v>
      </c>
      <c r="J13" s="3">
        <v>388743.99</v>
      </c>
      <c r="K13" s="4">
        <v>521024.26</v>
      </c>
      <c r="L13" s="3">
        <v>128843.35</v>
      </c>
      <c r="M13" s="3">
        <v>53138.98</v>
      </c>
      <c r="N13" s="3">
        <v>0</v>
      </c>
      <c r="O13" s="34">
        <v>687657.87</v>
      </c>
      <c r="P13" s="34">
        <v>638215.01</v>
      </c>
      <c r="Q13" s="34" t="s">
        <v>25</v>
      </c>
      <c r="R13" s="4">
        <v>1557539.09</v>
      </c>
      <c r="S13" s="3">
        <v>18983534.739999998</v>
      </c>
      <c r="T13" s="4">
        <v>867368.09</v>
      </c>
      <c r="U13" s="4">
        <v>0</v>
      </c>
      <c r="V13" s="4">
        <v>0</v>
      </c>
      <c r="W13" s="23">
        <f>5469.5+41.5</f>
        <v>5511</v>
      </c>
      <c r="X13" s="34"/>
      <c r="Y13" s="3">
        <v>43144019.579999998</v>
      </c>
    </row>
    <row r="14" spans="1:25" x14ac:dyDescent="0.3">
      <c r="A14" s="7">
        <v>25204</v>
      </c>
      <c r="B14" s="2">
        <f t="shared" si="0"/>
        <v>3288</v>
      </c>
      <c r="C14" s="3">
        <f>578270.94+21852.13</f>
        <v>600123.06999999995</v>
      </c>
      <c r="D14" s="3">
        <v>2246384.7599999998</v>
      </c>
      <c r="E14" s="3">
        <v>456018.71</v>
      </c>
      <c r="F14" s="4">
        <v>1754232.62</v>
      </c>
      <c r="G14" s="3">
        <v>9887158.0999999996</v>
      </c>
      <c r="H14" s="4">
        <v>1949270.82</v>
      </c>
      <c r="I14" s="3">
        <v>2720618.84</v>
      </c>
      <c r="J14" s="3">
        <v>400397.37</v>
      </c>
      <c r="K14" s="4">
        <v>284082.19</v>
      </c>
      <c r="L14" s="3">
        <v>143647.04999999999</v>
      </c>
      <c r="M14" s="3">
        <v>50656.4</v>
      </c>
      <c r="N14" s="3">
        <v>0</v>
      </c>
      <c r="O14" s="34">
        <v>874925.88</v>
      </c>
      <c r="P14" s="34">
        <v>802793.34</v>
      </c>
      <c r="Q14" s="34" t="s">
        <v>25</v>
      </c>
      <c r="R14" s="4">
        <v>1283661.94</v>
      </c>
      <c r="S14" s="3">
        <v>22051848.780000001</v>
      </c>
      <c r="T14" s="4">
        <v>990658.39</v>
      </c>
      <c r="U14" s="4">
        <v>0</v>
      </c>
      <c r="V14" s="4">
        <v>0</v>
      </c>
      <c r="W14" s="23">
        <f>6687.5+581.12</f>
        <v>7268.62</v>
      </c>
      <c r="X14" s="34"/>
      <c r="Y14" s="3">
        <v>46503746.880000003</v>
      </c>
    </row>
    <row r="15" spans="1:25" x14ac:dyDescent="0.3">
      <c r="A15" s="7">
        <v>25235</v>
      </c>
      <c r="B15" s="2">
        <f t="shared" si="0"/>
        <v>3319</v>
      </c>
      <c r="C15" s="3">
        <f>572060.52+18558.84</f>
        <v>590619.36</v>
      </c>
      <c r="D15" s="3">
        <v>2272986.34</v>
      </c>
      <c r="E15" s="3">
        <v>564736.12</v>
      </c>
      <c r="F15" s="4">
        <v>1442478.11</v>
      </c>
      <c r="G15" s="3">
        <v>8814811.0099999998</v>
      </c>
      <c r="H15" s="4">
        <v>1835643.11</v>
      </c>
      <c r="I15" s="3">
        <v>2573485.4300000002</v>
      </c>
      <c r="J15" s="3">
        <v>406960.66</v>
      </c>
      <c r="K15" s="4">
        <v>380792.85</v>
      </c>
      <c r="L15" s="3">
        <v>127975.05</v>
      </c>
      <c r="M15" s="3">
        <v>50477.96</v>
      </c>
      <c r="N15" s="3">
        <v>0</v>
      </c>
      <c r="O15" s="34">
        <v>894374.86</v>
      </c>
      <c r="P15" s="34">
        <v>706398.02</v>
      </c>
      <c r="Q15" s="34" t="s">
        <v>25</v>
      </c>
      <c r="R15" s="4">
        <v>1413978.37</v>
      </c>
      <c r="S15" s="3">
        <v>17184272.66</v>
      </c>
      <c r="T15" s="4">
        <v>862577.12</v>
      </c>
      <c r="U15" s="4">
        <v>0</v>
      </c>
      <c r="V15" s="4">
        <v>0</v>
      </c>
      <c r="W15" s="23">
        <f>107.5+129.77</f>
        <v>237.27</v>
      </c>
      <c r="X15" s="34"/>
      <c r="Y15" s="3">
        <v>40122804.299999997</v>
      </c>
    </row>
    <row r="16" spans="1:25" x14ac:dyDescent="0.3">
      <c r="A16" s="7">
        <v>25263</v>
      </c>
      <c r="B16" s="2">
        <f t="shared" si="0"/>
        <v>3347</v>
      </c>
      <c r="C16" s="3">
        <f>3779128.64+96329.55</f>
        <v>3875458.19</v>
      </c>
      <c r="D16" s="3">
        <v>14063869.5</v>
      </c>
      <c r="E16" s="3">
        <v>1498810.34</v>
      </c>
      <c r="F16" s="4">
        <v>1656622.25</v>
      </c>
      <c r="G16" s="3">
        <v>8293299.0300000003</v>
      </c>
      <c r="H16" s="4">
        <v>1669005.43</v>
      </c>
      <c r="I16" s="3">
        <v>2549095.2599999998</v>
      </c>
      <c r="J16" s="3">
        <v>378134.31</v>
      </c>
      <c r="K16" s="4">
        <v>14517764.880000001</v>
      </c>
      <c r="L16" s="3">
        <v>229201.44</v>
      </c>
      <c r="M16" s="3">
        <v>56947.56</v>
      </c>
      <c r="N16" s="3">
        <v>0</v>
      </c>
      <c r="O16" s="34">
        <v>758837.76000000001</v>
      </c>
      <c r="P16" s="34">
        <v>97348.52</v>
      </c>
      <c r="Q16" s="34" t="s">
        <v>25</v>
      </c>
      <c r="R16" s="4">
        <v>1431808.38</v>
      </c>
      <c r="S16" s="3">
        <v>16743472.789999999</v>
      </c>
      <c r="T16" s="4">
        <v>893630.31</v>
      </c>
      <c r="U16" s="4">
        <v>0</v>
      </c>
      <c r="V16" s="4">
        <v>0</v>
      </c>
      <c r="W16" s="23">
        <f>32.5-29.33</f>
        <v>3.1700000000000017</v>
      </c>
      <c r="X16" s="34"/>
      <c r="Y16" s="3">
        <v>68713309.120000005</v>
      </c>
    </row>
    <row r="17" spans="1:25" x14ac:dyDescent="0.3">
      <c r="A17" s="7">
        <v>25294</v>
      </c>
      <c r="B17" s="2">
        <f t="shared" si="0"/>
        <v>3378</v>
      </c>
      <c r="C17" s="3">
        <f>5212436.57+97356.02</f>
        <v>5309792.59</v>
      </c>
      <c r="D17" s="3">
        <v>23373312.98</v>
      </c>
      <c r="E17" s="3">
        <v>8290875.46</v>
      </c>
      <c r="F17" s="4">
        <v>2880131.24</v>
      </c>
      <c r="G17" s="3">
        <v>8840637.8100000005</v>
      </c>
      <c r="H17" s="4">
        <v>1810227.5</v>
      </c>
      <c r="I17" s="3">
        <v>3052184.73</v>
      </c>
      <c r="J17" s="3">
        <v>469666.92</v>
      </c>
      <c r="K17" s="4">
        <v>27585377.890000001</v>
      </c>
      <c r="L17" s="3">
        <v>309713.40000000002</v>
      </c>
      <c r="M17" s="3">
        <v>58484.9</v>
      </c>
      <c r="N17" s="3">
        <v>0</v>
      </c>
      <c r="O17" s="34">
        <v>958414.38</v>
      </c>
      <c r="P17" s="34">
        <v>1363040.8</v>
      </c>
      <c r="Q17" s="34" t="s">
        <v>25</v>
      </c>
      <c r="R17" s="4">
        <v>1437643.1</v>
      </c>
      <c r="S17" s="3">
        <v>18398270.75</v>
      </c>
      <c r="T17" s="4">
        <v>1116748.8</v>
      </c>
      <c r="U17" s="4">
        <v>0</v>
      </c>
      <c r="V17" s="4">
        <v>0</v>
      </c>
      <c r="W17" s="23">
        <f>322.25+25</f>
        <v>347.25</v>
      </c>
      <c r="X17" s="34"/>
      <c r="Y17" s="3">
        <v>105254870.5</v>
      </c>
    </row>
    <row r="18" spans="1:25" x14ac:dyDescent="0.3">
      <c r="A18" s="7">
        <v>25324</v>
      </c>
      <c r="B18" s="2">
        <f t="shared" si="0"/>
        <v>3408</v>
      </c>
      <c r="C18" s="3">
        <f>553780.51+16994.27</f>
        <v>570774.78</v>
      </c>
      <c r="D18" s="3">
        <v>1213085.1399999999</v>
      </c>
      <c r="E18" s="3">
        <v>141535.04000000001</v>
      </c>
      <c r="F18" s="4">
        <v>1433903.56</v>
      </c>
      <c r="G18" s="3">
        <v>10526156.039999999</v>
      </c>
      <c r="H18" s="4">
        <v>1905445.25</v>
      </c>
      <c r="I18" s="3">
        <v>3077920.97</v>
      </c>
      <c r="J18" s="3">
        <v>503174.21</v>
      </c>
      <c r="K18" s="4">
        <v>5216684.34</v>
      </c>
      <c r="L18" s="3">
        <v>172197.5</v>
      </c>
      <c r="M18" s="3">
        <v>54324.72</v>
      </c>
      <c r="N18" s="3">
        <v>0</v>
      </c>
      <c r="O18" s="34">
        <v>840766.3</v>
      </c>
      <c r="P18" s="34">
        <v>927886.29</v>
      </c>
      <c r="Q18" s="34" t="s">
        <v>25</v>
      </c>
      <c r="R18" s="4">
        <v>1406009.53</v>
      </c>
      <c r="S18" s="3">
        <v>19650181.600000001</v>
      </c>
      <c r="T18" s="4">
        <v>804270.61</v>
      </c>
      <c r="U18" s="4">
        <v>0</v>
      </c>
      <c r="V18" s="4">
        <v>0</v>
      </c>
      <c r="W18" s="23">
        <f>61.67+20</f>
        <v>81.67</v>
      </c>
      <c r="X18" s="34"/>
      <c r="Y18" s="3">
        <v>48444397.549999997</v>
      </c>
    </row>
    <row r="19" spans="1:25" x14ac:dyDescent="0.3">
      <c r="A19" s="7">
        <v>25355</v>
      </c>
      <c r="B19" s="2">
        <f t="shared" si="0"/>
        <v>3439</v>
      </c>
      <c r="C19" s="3">
        <f>1072738.07+38483</f>
        <v>1111221.07</v>
      </c>
      <c r="D19" s="3">
        <v>3232076.48</v>
      </c>
      <c r="E19" s="3">
        <v>108746.63</v>
      </c>
      <c r="F19" s="4">
        <v>1494736.41</v>
      </c>
      <c r="G19" s="3">
        <v>9447993.5199999996</v>
      </c>
      <c r="H19" s="4">
        <v>1867499.89</v>
      </c>
      <c r="I19" s="3">
        <v>4942550.91</v>
      </c>
      <c r="J19" s="3">
        <v>457609.57</v>
      </c>
      <c r="K19" s="4">
        <v>1465475.85</v>
      </c>
      <c r="L19" s="3">
        <v>161928.22</v>
      </c>
      <c r="M19" s="3">
        <v>63115.49</v>
      </c>
      <c r="N19" s="3">
        <v>0</v>
      </c>
      <c r="O19" s="34">
        <v>845045.42</v>
      </c>
      <c r="P19" s="34">
        <v>1557986.37</v>
      </c>
      <c r="Q19" s="34" t="s">
        <v>25</v>
      </c>
      <c r="R19" s="4">
        <v>1540917.67</v>
      </c>
      <c r="S19" s="3">
        <v>20387691.34</v>
      </c>
      <c r="T19" s="4">
        <v>1058473.52</v>
      </c>
      <c r="U19" s="4">
        <v>0</v>
      </c>
      <c r="V19" s="4">
        <v>0</v>
      </c>
      <c r="W19" s="23">
        <v>106.1</v>
      </c>
      <c r="X19" s="34"/>
      <c r="Y19" s="3">
        <v>49743174.460000001</v>
      </c>
    </row>
    <row r="20" spans="1:25" x14ac:dyDescent="0.3">
      <c r="A20" s="7">
        <v>25385</v>
      </c>
      <c r="B20" s="2">
        <f t="shared" si="0"/>
        <v>3469</v>
      </c>
      <c r="C20" s="3">
        <f>819161.09+25477.67</f>
        <v>844638.76</v>
      </c>
      <c r="D20" s="3">
        <v>2384624.2799999998</v>
      </c>
      <c r="E20" s="3">
        <v>33291.300000000003</v>
      </c>
      <c r="F20" s="4">
        <v>1038927.82</v>
      </c>
      <c r="G20" s="3">
        <v>10431721.92</v>
      </c>
      <c r="H20" s="4">
        <v>1887058.17</v>
      </c>
      <c r="I20" s="3">
        <v>4152092.96</v>
      </c>
      <c r="J20" s="3">
        <v>377998</v>
      </c>
      <c r="K20" s="4">
        <v>27900.12</v>
      </c>
      <c r="L20" s="3">
        <v>159436.78</v>
      </c>
      <c r="M20" s="3">
        <v>50821.45</v>
      </c>
      <c r="N20" s="3">
        <v>0</v>
      </c>
      <c r="O20" s="34">
        <v>948349.49</v>
      </c>
      <c r="P20" s="34">
        <v>2424198.7999999998</v>
      </c>
      <c r="Q20" s="34" t="s">
        <v>25</v>
      </c>
      <c r="R20" s="4">
        <v>1446906.94</v>
      </c>
      <c r="S20" s="3">
        <v>20063174.129999999</v>
      </c>
      <c r="T20" s="4">
        <v>1234421.1499999999</v>
      </c>
      <c r="U20" s="4">
        <v>0</v>
      </c>
      <c r="V20" s="4">
        <v>0</v>
      </c>
      <c r="W20" s="23">
        <f>145+189.15</f>
        <v>334.15</v>
      </c>
      <c r="X20" s="34"/>
      <c r="Y20" s="3">
        <v>47505896.219999999</v>
      </c>
    </row>
    <row r="21" spans="1:25" x14ac:dyDescent="0.3">
      <c r="A21" s="7">
        <v>25416</v>
      </c>
      <c r="B21" s="2">
        <f t="shared" si="0"/>
        <v>3500</v>
      </c>
      <c r="C21" s="3">
        <f>456873.37+20745.92</f>
        <v>477619.29</v>
      </c>
      <c r="D21" s="3">
        <v>1445571.7</v>
      </c>
      <c r="E21" s="3">
        <v>89644.31</v>
      </c>
      <c r="F21" s="4">
        <v>776636.65</v>
      </c>
      <c r="G21" s="3">
        <v>10594265.619999999</v>
      </c>
      <c r="H21" s="4">
        <v>1864621.72</v>
      </c>
      <c r="I21" s="3">
        <v>4224722.2300000004</v>
      </c>
      <c r="J21" s="3">
        <v>556605.42000000004</v>
      </c>
      <c r="K21" s="4">
        <v>1294071.0900000001</v>
      </c>
      <c r="L21" s="3">
        <v>154537.82</v>
      </c>
      <c r="M21" s="3">
        <v>60037.72</v>
      </c>
      <c r="N21" s="3">
        <v>0</v>
      </c>
      <c r="O21" s="34">
        <v>849934.78</v>
      </c>
      <c r="P21" s="34">
        <v>4103812.69</v>
      </c>
      <c r="Q21" s="34" t="s">
        <v>25</v>
      </c>
      <c r="R21" s="4">
        <v>1365576.1</v>
      </c>
      <c r="S21" s="3">
        <v>19256084.289999999</v>
      </c>
      <c r="T21" s="4">
        <v>666539.4</v>
      </c>
      <c r="U21" s="4">
        <v>0</v>
      </c>
      <c r="V21" s="4">
        <v>0</v>
      </c>
      <c r="W21" s="23">
        <f>75+165.42</f>
        <v>240.42</v>
      </c>
      <c r="X21" s="34"/>
      <c r="Y21" s="3">
        <v>47780521.25</v>
      </c>
    </row>
    <row r="22" spans="1:25" x14ac:dyDescent="0.3">
      <c r="A22" s="7">
        <v>25447</v>
      </c>
      <c r="B22" s="2">
        <f t="shared" si="0"/>
        <v>3531</v>
      </c>
      <c r="C22" s="3">
        <f>989998.34+32006.91</f>
        <v>1022005.25</v>
      </c>
      <c r="D22" s="3">
        <v>2712428.38</v>
      </c>
      <c r="E22" s="3">
        <v>25921.42</v>
      </c>
      <c r="F22" s="4">
        <v>1153001.6299999999</v>
      </c>
      <c r="G22" s="3">
        <v>9538967.6199999992</v>
      </c>
      <c r="H22" s="4">
        <v>1725643.1</v>
      </c>
      <c r="I22" s="3">
        <v>4288921.41</v>
      </c>
      <c r="J22" s="3">
        <v>644326.88</v>
      </c>
      <c r="K22" s="4">
        <v>1128712.71</v>
      </c>
      <c r="L22" s="3">
        <v>156317.06</v>
      </c>
      <c r="M22" s="3">
        <v>62840.17</v>
      </c>
      <c r="N22" s="3">
        <v>0</v>
      </c>
      <c r="O22" s="34">
        <v>837629.56</v>
      </c>
      <c r="P22" s="34">
        <v>735064.67</v>
      </c>
      <c r="Q22" s="34" t="s">
        <v>25</v>
      </c>
      <c r="R22" s="4">
        <v>1499971.87</v>
      </c>
      <c r="S22" s="3">
        <v>20402272.920000002</v>
      </c>
      <c r="T22" s="4">
        <v>962820.2</v>
      </c>
      <c r="U22" s="4">
        <v>0</v>
      </c>
      <c r="V22" s="4">
        <v>0</v>
      </c>
      <c r="W22" s="23">
        <f>80+41.9</f>
        <v>121.9</v>
      </c>
      <c r="X22" s="34"/>
      <c r="Y22" s="3">
        <v>46896966.75</v>
      </c>
    </row>
    <row r="23" spans="1:25" x14ac:dyDescent="0.3">
      <c r="A23" s="7">
        <v>25477</v>
      </c>
      <c r="B23" s="2">
        <f t="shared" si="0"/>
        <v>3561</v>
      </c>
      <c r="C23" s="3">
        <f>1043024.51+27281.5</f>
        <v>1070306.01</v>
      </c>
      <c r="D23" s="3">
        <v>3050616.74</v>
      </c>
      <c r="E23" s="3">
        <v>50308.56</v>
      </c>
      <c r="F23" s="4">
        <v>1918459.65</v>
      </c>
      <c r="G23" s="3">
        <v>9632402</v>
      </c>
      <c r="H23" s="4">
        <v>1747715.82</v>
      </c>
      <c r="I23" s="3">
        <v>4163349.46</v>
      </c>
      <c r="J23" s="3">
        <v>525817.73</v>
      </c>
      <c r="K23" s="4">
        <v>676978.78</v>
      </c>
      <c r="L23" s="3">
        <v>163323.4</v>
      </c>
      <c r="M23" s="3">
        <v>60463.4</v>
      </c>
      <c r="N23" s="3">
        <v>0</v>
      </c>
      <c r="O23" s="34">
        <v>873114.76</v>
      </c>
      <c r="P23" s="34">
        <v>890898.86</v>
      </c>
      <c r="Q23" s="34" t="s">
        <v>25</v>
      </c>
      <c r="R23" s="4">
        <v>1880315.21</v>
      </c>
      <c r="S23" s="3">
        <v>19697601.800000001</v>
      </c>
      <c r="T23" s="4">
        <v>986854.79</v>
      </c>
      <c r="U23" s="4">
        <v>0</v>
      </c>
      <c r="V23" s="4">
        <v>0</v>
      </c>
      <c r="W23" s="23">
        <f>200+109.81</f>
        <v>309.81</v>
      </c>
      <c r="X23" s="34"/>
      <c r="Y23" s="3">
        <v>47388836.780000001</v>
      </c>
    </row>
    <row r="24" spans="1:25" x14ac:dyDescent="0.3">
      <c r="A24" s="7">
        <v>25508</v>
      </c>
      <c r="B24" s="2">
        <f t="shared" si="0"/>
        <v>3592</v>
      </c>
      <c r="C24" s="3">
        <f>488768.64+14363.13</f>
        <v>503131.77</v>
      </c>
      <c r="D24" s="3">
        <v>1130394.43</v>
      </c>
      <c r="E24" s="3">
        <v>28285.99</v>
      </c>
      <c r="F24" s="4">
        <v>1250184.56</v>
      </c>
      <c r="G24" s="8">
        <v>10478180.949999999</v>
      </c>
      <c r="H24" s="4">
        <v>2060137.87</v>
      </c>
      <c r="I24" s="3">
        <v>3813666.04</v>
      </c>
      <c r="J24" s="3">
        <v>540955.66</v>
      </c>
      <c r="K24" s="4">
        <v>817125.27</v>
      </c>
      <c r="L24" s="3">
        <v>139783.87</v>
      </c>
      <c r="M24" s="3">
        <v>83591.820000000007</v>
      </c>
      <c r="N24" s="3">
        <v>0</v>
      </c>
      <c r="O24" s="34">
        <v>803356.29</v>
      </c>
      <c r="P24" s="34">
        <v>812693.46</v>
      </c>
      <c r="Q24" s="34" t="s">
        <v>25</v>
      </c>
      <c r="R24" s="4">
        <v>1787460.52</v>
      </c>
      <c r="S24" s="3">
        <v>20244656.870000001</v>
      </c>
      <c r="T24" s="4">
        <v>1198601.1399999999</v>
      </c>
      <c r="U24" s="4">
        <v>0</v>
      </c>
      <c r="V24" s="4">
        <v>0</v>
      </c>
      <c r="W24" s="23">
        <f>35.21</f>
        <v>35.21</v>
      </c>
      <c r="X24" s="34"/>
      <c r="Y24" s="3">
        <v>45692241.719999999</v>
      </c>
    </row>
    <row r="25" spans="1:25" x14ac:dyDescent="0.3">
      <c r="A25" s="7">
        <v>25538</v>
      </c>
      <c r="B25" s="2">
        <f t="shared" si="0"/>
        <v>3622</v>
      </c>
      <c r="C25" s="3">
        <f>615859+24831.76</f>
        <v>640690.76</v>
      </c>
      <c r="D25" s="3">
        <v>2160606.2400000002</v>
      </c>
      <c r="E25" s="3">
        <v>258171.1</v>
      </c>
      <c r="F25" s="4">
        <v>1513038.75</v>
      </c>
      <c r="G25" s="3">
        <v>9398462.8499999996</v>
      </c>
      <c r="H25" s="4">
        <v>1902907.89</v>
      </c>
      <c r="I25" s="3">
        <v>4552897.58</v>
      </c>
      <c r="J25" s="3">
        <v>427985.49</v>
      </c>
      <c r="K25" s="4">
        <v>845806.07999999996</v>
      </c>
      <c r="L25" s="3">
        <v>131486.34</v>
      </c>
      <c r="M25" s="3">
        <v>76317.679999999993</v>
      </c>
      <c r="N25" s="3">
        <v>0</v>
      </c>
      <c r="O25" s="34">
        <v>663075.93000000005</v>
      </c>
      <c r="P25" s="34">
        <v>689430.2</v>
      </c>
      <c r="Q25" s="34" t="s">
        <v>25</v>
      </c>
      <c r="R25" s="4">
        <v>1523709.66</v>
      </c>
      <c r="S25" s="3">
        <v>20144916.27</v>
      </c>
      <c r="T25" s="4">
        <v>1056569.3899999999</v>
      </c>
      <c r="U25" s="4">
        <v>0</v>
      </c>
      <c r="V25" s="4">
        <v>0</v>
      </c>
      <c r="W25" s="23">
        <f>6110+55.67</f>
        <v>6165.67</v>
      </c>
      <c r="X25" s="34"/>
      <c r="Y25" s="3">
        <v>45992237.880000003</v>
      </c>
    </row>
    <row r="26" spans="1:25" x14ac:dyDescent="0.3">
      <c r="A26" s="7">
        <v>25569</v>
      </c>
      <c r="B26" s="2">
        <f t="shared" si="0"/>
        <v>3653</v>
      </c>
      <c r="C26" s="3">
        <f>611367.88+22146.82</f>
        <v>633514.69999999995</v>
      </c>
      <c r="D26" s="3">
        <v>2166263.1</v>
      </c>
      <c r="E26" s="3">
        <v>286682.17</v>
      </c>
      <c r="F26" s="4">
        <v>1657222.15</v>
      </c>
      <c r="G26" s="3">
        <v>10608146.16</v>
      </c>
      <c r="H26" s="4">
        <v>2176245.91</v>
      </c>
      <c r="I26" s="3">
        <v>3877454.02</v>
      </c>
      <c r="J26" s="3">
        <v>417199.03</v>
      </c>
      <c r="K26" s="4">
        <v>283171.23</v>
      </c>
      <c r="L26" s="3">
        <v>124849.45</v>
      </c>
      <c r="M26" s="3">
        <v>94539.64</v>
      </c>
      <c r="N26" s="3">
        <v>0</v>
      </c>
      <c r="O26" s="34">
        <v>829189.67</v>
      </c>
      <c r="P26" s="34">
        <v>879538.87</v>
      </c>
      <c r="Q26" s="34" t="s">
        <v>25</v>
      </c>
      <c r="R26" s="4">
        <v>1534091</v>
      </c>
      <c r="S26" s="3">
        <v>23146611.829999998</v>
      </c>
      <c r="T26" s="4">
        <v>904420.1</v>
      </c>
      <c r="U26" s="4">
        <v>0</v>
      </c>
      <c r="V26" s="4">
        <v>0</v>
      </c>
      <c r="W26" s="23">
        <f>5102.5+379.3</f>
        <v>5481.8</v>
      </c>
      <c r="X26" s="34"/>
      <c r="Y26" s="3">
        <v>49624620.829999998</v>
      </c>
    </row>
    <row r="27" spans="1:25" x14ac:dyDescent="0.3">
      <c r="A27" s="7">
        <v>25600</v>
      </c>
      <c r="B27" s="2">
        <f t="shared" si="0"/>
        <v>3684</v>
      </c>
      <c r="C27" s="3">
        <f>472495.86+18803.31</f>
        <v>491299.17</v>
      </c>
      <c r="D27" s="3">
        <v>2101115.85</v>
      </c>
      <c r="E27" s="3">
        <v>673194.24</v>
      </c>
      <c r="F27" s="4">
        <v>2054707.67</v>
      </c>
      <c r="G27" s="3">
        <v>9324177.8599999994</v>
      </c>
      <c r="H27" s="4">
        <v>1821614.71</v>
      </c>
      <c r="I27" s="3">
        <v>4027378.08</v>
      </c>
      <c r="J27" s="3">
        <v>384386.32</v>
      </c>
      <c r="K27" s="4">
        <v>1338789.8600000001</v>
      </c>
      <c r="L27" s="3">
        <v>135601.5</v>
      </c>
      <c r="M27" s="3">
        <v>105176.81</v>
      </c>
      <c r="N27" s="3">
        <v>0</v>
      </c>
      <c r="O27" s="34">
        <v>836510.81</v>
      </c>
      <c r="P27" s="34">
        <v>821208.74</v>
      </c>
      <c r="Q27" s="34" t="s">
        <v>25</v>
      </c>
      <c r="R27" s="4">
        <v>1441551.06</v>
      </c>
      <c r="S27" s="3">
        <v>17924491.210000001</v>
      </c>
      <c r="T27" s="4">
        <v>1065386.47</v>
      </c>
      <c r="U27" s="4">
        <v>0</v>
      </c>
      <c r="V27" s="4">
        <v>0</v>
      </c>
      <c r="W27" s="23">
        <f>377.5+38.02</f>
        <v>415.52</v>
      </c>
      <c r="X27" s="34"/>
      <c r="Y27" s="3">
        <v>44547005.880000003</v>
      </c>
    </row>
    <row r="28" spans="1:25" x14ac:dyDescent="0.3">
      <c r="A28" s="7">
        <v>25628</v>
      </c>
      <c r="B28" s="2">
        <f t="shared" si="0"/>
        <v>3712</v>
      </c>
      <c r="C28" s="3">
        <f>5269748.12+119720.9</f>
        <v>5389469.0200000005</v>
      </c>
      <c r="D28" s="3">
        <v>18159597.379999999</v>
      </c>
      <c r="E28" s="3">
        <v>1540159.58</v>
      </c>
      <c r="F28" s="4">
        <v>1619982.02</v>
      </c>
      <c r="G28" s="3">
        <v>7445865.54</v>
      </c>
      <c r="H28" s="4">
        <v>1628024.87</v>
      </c>
      <c r="I28" s="3">
        <v>4152971.09</v>
      </c>
      <c r="J28" s="3">
        <v>405107.51</v>
      </c>
      <c r="K28" s="4">
        <v>17768328.550000001</v>
      </c>
      <c r="L28" s="3">
        <v>228251.4</v>
      </c>
      <c r="M28" s="3">
        <v>105804.18</v>
      </c>
      <c r="N28" s="3">
        <v>0</v>
      </c>
      <c r="O28" s="34">
        <v>709757.03</v>
      </c>
      <c r="P28" s="34">
        <v>710275.61</v>
      </c>
      <c r="Q28" s="34" t="s">
        <v>25</v>
      </c>
      <c r="R28" s="4">
        <v>1309716.95</v>
      </c>
      <c r="S28" s="3">
        <v>17865965.629999999</v>
      </c>
      <c r="T28" s="4">
        <v>912432.44</v>
      </c>
      <c r="U28" s="4">
        <v>0</v>
      </c>
      <c r="V28" s="4">
        <v>0</v>
      </c>
      <c r="W28" s="23">
        <f>100+111.77</f>
        <v>211.76999999999998</v>
      </c>
      <c r="X28" s="34"/>
      <c r="Y28" s="3">
        <v>79951920.569999993</v>
      </c>
    </row>
    <row r="29" spans="1:25" x14ac:dyDescent="0.3">
      <c r="A29" s="7">
        <v>25659</v>
      </c>
      <c r="B29" s="2">
        <f t="shared" si="0"/>
        <v>3743</v>
      </c>
      <c r="C29" s="3">
        <f>4532019.68+79623.11</f>
        <v>4611642.79</v>
      </c>
      <c r="D29" s="3">
        <v>20375047.010000002</v>
      </c>
      <c r="E29" s="3">
        <v>8924415.3100000005</v>
      </c>
      <c r="F29" s="4">
        <v>2208344.29</v>
      </c>
      <c r="G29" s="3">
        <v>10163076.5</v>
      </c>
      <c r="H29" s="4">
        <v>1950897.1</v>
      </c>
      <c r="I29" s="3">
        <v>4293960.99</v>
      </c>
      <c r="J29" s="3">
        <v>522846.04</v>
      </c>
      <c r="K29" s="4">
        <v>24579054.969999999</v>
      </c>
      <c r="L29" s="3">
        <v>301746.8</v>
      </c>
      <c r="M29" s="3">
        <v>123903.05</v>
      </c>
      <c r="N29" s="3">
        <v>0</v>
      </c>
      <c r="O29" s="34">
        <v>869113.04</v>
      </c>
      <c r="P29" s="34">
        <v>924726.86</v>
      </c>
      <c r="Q29" s="34" t="s">
        <v>25</v>
      </c>
      <c r="R29" s="4">
        <v>1423636.81</v>
      </c>
      <c r="S29" s="3">
        <v>19634748.629999999</v>
      </c>
      <c r="T29" s="4">
        <v>963764.84</v>
      </c>
      <c r="U29" s="4">
        <v>0</v>
      </c>
      <c r="V29" s="4">
        <v>0</v>
      </c>
      <c r="W29" s="23">
        <f>75.11+37.5</f>
        <v>112.61</v>
      </c>
      <c r="X29" s="34"/>
      <c r="Y29" s="3">
        <v>101871037.64</v>
      </c>
    </row>
    <row r="30" spans="1:25" x14ac:dyDescent="0.3">
      <c r="A30" s="7">
        <v>25689</v>
      </c>
      <c r="B30" s="2">
        <f t="shared" si="0"/>
        <v>3773</v>
      </c>
      <c r="C30" s="3">
        <f>448720.5+18200.19</f>
        <v>466920.69</v>
      </c>
      <c r="D30" s="3">
        <v>1371483.45</v>
      </c>
      <c r="E30" s="3">
        <v>84115.64</v>
      </c>
      <c r="F30" s="4">
        <v>1322743.69</v>
      </c>
      <c r="G30" s="3">
        <v>9905736.4900000002</v>
      </c>
      <c r="H30" s="4">
        <v>1936905.52</v>
      </c>
      <c r="I30" s="3">
        <v>4375916.5599999996</v>
      </c>
      <c r="J30" s="3">
        <v>553547.77</v>
      </c>
      <c r="K30" s="4">
        <v>5178934.45</v>
      </c>
      <c r="L30" s="3">
        <v>192181.97</v>
      </c>
      <c r="M30" s="3">
        <v>122308.21</v>
      </c>
      <c r="N30" s="3">
        <v>0</v>
      </c>
      <c r="O30" s="34">
        <v>823564.21</v>
      </c>
      <c r="P30" s="34">
        <v>1519523.31</v>
      </c>
      <c r="Q30" s="34" t="s">
        <v>25</v>
      </c>
      <c r="R30" s="4">
        <v>1281371.8999999999</v>
      </c>
      <c r="S30" s="3">
        <v>19684349.460000001</v>
      </c>
      <c r="T30" s="4">
        <v>1078907.43</v>
      </c>
      <c r="U30" s="4">
        <v>0</v>
      </c>
      <c r="V30" s="4">
        <v>0</v>
      </c>
      <c r="W30" s="23">
        <f>74.32-25</f>
        <v>49.319999999999993</v>
      </c>
      <c r="X30" s="34"/>
      <c r="Y30" s="3">
        <v>49898560.07</v>
      </c>
    </row>
    <row r="31" spans="1:25" x14ac:dyDescent="0.3">
      <c r="A31" s="7">
        <v>25720</v>
      </c>
      <c r="B31" s="2">
        <f t="shared" si="0"/>
        <v>3804</v>
      </c>
      <c r="C31" s="3">
        <f>1053927.05+38819.62</f>
        <v>1092746.6700000002</v>
      </c>
      <c r="D31" s="3">
        <v>2575280.06</v>
      </c>
      <c r="E31" s="3">
        <v>118477.28</v>
      </c>
      <c r="F31" s="4">
        <v>1604665.6</v>
      </c>
      <c r="G31" s="3">
        <v>10954610.279999999</v>
      </c>
      <c r="H31" s="4">
        <v>1921257.32</v>
      </c>
      <c r="I31" s="3">
        <v>4779714.7300000004</v>
      </c>
      <c r="J31" s="3">
        <v>600136.73</v>
      </c>
      <c r="K31" s="4">
        <v>1777467.76</v>
      </c>
      <c r="L31" s="3">
        <v>164941.12</v>
      </c>
      <c r="M31" s="3">
        <v>127884.25</v>
      </c>
      <c r="N31" s="3">
        <v>0</v>
      </c>
      <c r="O31" s="34">
        <v>799181.56</v>
      </c>
      <c r="P31" s="34">
        <v>1344632.79</v>
      </c>
      <c r="Q31" s="34" t="s">
        <v>25</v>
      </c>
      <c r="R31" s="4">
        <v>961883.2</v>
      </c>
      <c r="S31" s="3">
        <v>21123154.93</v>
      </c>
      <c r="T31" s="4">
        <v>1118430</v>
      </c>
      <c r="U31" s="4">
        <v>0</v>
      </c>
      <c r="V31" s="4">
        <v>0</v>
      </c>
      <c r="W31" s="23">
        <v>11.71</v>
      </c>
      <c r="X31" s="34"/>
      <c r="Y31" s="3">
        <v>51064475.990000002</v>
      </c>
    </row>
    <row r="32" spans="1:25" x14ac:dyDescent="0.3">
      <c r="A32" s="7">
        <v>25750</v>
      </c>
      <c r="B32" s="2">
        <f t="shared" si="0"/>
        <v>3834</v>
      </c>
      <c r="C32" s="3">
        <f>939947.62+32562.89</f>
        <v>972510.51</v>
      </c>
      <c r="D32" s="3">
        <v>2603142.89</v>
      </c>
      <c r="E32" s="3">
        <v>65759.399999999994</v>
      </c>
      <c r="F32" s="4">
        <v>1550583.32</v>
      </c>
      <c r="G32" s="3">
        <v>10324909.1</v>
      </c>
      <c r="H32" s="4">
        <v>2001005.36</v>
      </c>
      <c r="I32" s="3">
        <v>4520064.17</v>
      </c>
      <c r="J32" s="3">
        <v>623837.76</v>
      </c>
      <c r="K32" s="4">
        <v>152631.29999999999</v>
      </c>
      <c r="L32" s="3">
        <v>168659.81</v>
      </c>
      <c r="M32" s="3">
        <v>122400.84</v>
      </c>
      <c r="N32" s="3">
        <v>0</v>
      </c>
      <c r="O32" s="34">
        <v>1057056.1200000001</v>
      </c>
      <c r="P32" s="34">
        <v>2401477.7200000002</v>
      </c>
      <c r="Q32" s="34" t="s">
        <v>25</v>
      </c>
      <c r="R32" s="4">
        <v>1531609.11</v>
      </c>
      <c r="S32" s="3">
        <v>21330532.579999998</v>
      </c>
      <c r="T32" s="4">
        <v>1356303.46</v>
      </c>
      <c r="U32" s="4">
        <v>0</v>
      </c>
      <c r="V32" s="4">
        <v>0</v>
      </c>
      <c r="W32" s="23">
        <v>143.11000000000001</v>
      </c>
      <c r="X32" s="34"/>
      <c r="Y32" s="3">
        <v>50782626.560000002</v>
      </c>
    </row>
    <row r="33" spans="1:25" x14ac:dyDescent="0.3">
      <c r="A33" s="7">
        <v>25781</v>
      </c>
      <c r="B33" s="2">
        <f t="shared" si="0"/>
        <v>3865</v>
      </c>
      <c r="C33" s="3">
        <f>585938.88+20167.02</f>
        <v>606105.9</v>
      </c>
      <c r="D33" s="3">
        <v>1572785.09</v>
      </c>
      <c r="E33" s="3">
        <v>86960.960000000006</v>
      </c>
      <c r="F33" s="4">
        <v>1869432.16</v>
      </c>
      <c r="G33" s="3">
        <v>10991076.48</v>
      </c>
      <c r="H33" s="4">
        <v>2051274.07</v>
      </c>
      <c r="I33" s="3">
        <v>4395218.92</v>
      </c>
      <c r="J33" s="3">
        <v>592293.48</v>
      </c>
      <c r="K33" s="4">
        <v>1135761.8999999999</v>
      </c>
      <c r="L33" s="3">
        <v>156108.03</v>
      </c>
      <c r="M33" s="3">
        <v>120974.03</v>
      </c>
      <c r="N33" s="3">
        <v>0</v>
      </c>
      <c r="O33" s="34">
        <v>888857.08</v>
      </c>
      <c r="P33" s="34">
        <v>2044289.34</v>
      </c>
      <c r="Q33" s="34" t="s">
        <v>25</v>
      </c>
      <c r="R33" s="4">
        <v>1430750.6</v>
      </c>
      <c r="S33" s="3">
        <v>21580144.140000001</v>
      </c>
      <c r="T33" s="4">
        <v>822290.09</v>
      </c>
      <c r="U33" s="4">
        <v>0</v>
      </c>
      <c r="V33" s="4">
        <v>0</v>
      </c>
      <c r="W33" s="23">
        <v>50.01</v>
      </c>
      <c r="X33" s="34"/>
      <c r="Y33" s="3">
        <v>50344372.280000001</v>
      </c>
    </row>
    <row r="34" spans="1:25" x14ac:dyDescent="0.3">
      <c r="A34" s="7">
        <v>25812</v>
      </c>
      <c r="B34" s="2">
        <f t="shared" si="0"/>
        <v>3896</v>
      </c>
      <c r="C34" s="3">
        <f>1247551.68+37981.89</f>
        <v>1285533.5699999998</v>
      </c>
      <c r="D34" s="3">
        <v>3242561.42</v>
      </c>
      <c r="E34" s="3">
        <v>63428.55</v>
      </c>
      <c r="F34" s="4">
        <v>1599485.98</v>
      </c>
      <c r="G34" s="3">
        <v>11215362.279999999</v>
      </c>
      <c r="H34" s="4">
        <v>2073955.72</v>
      </c>
      <c r="I34" s="3">
        <v>4648118.99</v>
      </c>
      <c r="J34" s="3">
        <v>549852.12</v>
      </c>
      <c r="K34" s="4">
        <v>1190080</v>
      </c>
      <c r="L34" s="3">
        <v>152509.04</v>
      </c>
      <c r="M34" s="3">
        <v>125594.63</v>
      </c>
      <c r="N34" s="3">
        <v>0</v>
      </c>
      <c r="O34" s="34">
        <v>884204.84</v>
      </c>
      <c r="P34" s="34">
        <v>809536.73</v>
      </c>
      <c r="Q34" s="34" t="s">
        <v>25</v>
      </c>
      <c r="R34" s="4">
        <v>1379942.88</v>
      </c>
      <c r="S34" s="3">
        <v>21121055.57</v>
      </c>
      <c r="T34" s="4">
        <v>1078424.83</v>
      </c>
      <c r="U34" s="4">
        <v>0</v>
      </c>
      <c r="V34" s="4">
        <v>0</v>
      </c>
      <c r="W34" s="23">
        <v>217.45</v>
      </c>
      <c r="X34" s="34"/>
      <c r="Y34" s="3">
        <v>51419864.600000001</v>
      </c>
    </row>
    <row r="35" spans="1:25" x14ac:dyDescent="0.3">
      <c r="A35" s="7">
        <v>25842</v>
      </c>
      <c r="B35" s="2">
        <f t="shared" si="0"/>
        <v>3926</v>
      </c>
      <c r="C35" s="3">
        <f>1134564.95+27415.2</f>
        <v>1161980.1499999999</v>
      </c>
      <c r="D35" s="3">
        <v>3569136.27</v>
      </c>
      <c r="E35" s="3">
        <v>56210.61</v>
      </c>
      <c r="F35" s="4">
        <v>1231746.99</v>
      </c>
      <c r="G35" s="3">
        <v>10805246.050000001</v>
      </c>
      <c r="H35" s="4">
        <v>2058874.8</v>
      </c>
      <c r="I35" s="3">
        <v>4258603.59</v>
      </c>
      <c r="J35" s="3">
        <v>493877.06</v>
      </c>
      <c r="K35" s="4">
        <v>642372.59</v>
      </c>
      <c r="L35" s="3">
        <v>162155.28</v>
      </c>
      <c r="M35" s="3">
        <v>140152.64000000001</v>
      </c>
      <c r="N35" s="3">
        <v>0</v>
      </c>
      <c r="O35" s="34">
        <v>961404.53</v>
      </c>
      <c r="P35" s="34">
        <v>1013710.3</v>
      </c>
      <c r="Q35" s="34" t="s">
        <v>25</v>
      </c>
      <c r="R35" s="4">
        <v>1441815.7</v>
      </c>
      <c r="S35" s="3">
        <v>20702912.809999999</v>
      </c>
      <c r="T35" s="4">
        <v>1251080.45</v>
      </c>
      <c r="U35" s="4">
        <v>0</v>
      </c>
      <c r="V35" s="4">
        <v>0</v>
      </c>
      <c r="W35" s="23">
        <v>56.71</v>
      </c>
      <c r="X35" s="34"/>
      <c r="Y35" s="3">
        <v>49951336.530000001</v>
      </c>
    </row>
    <row r="36" spans="1:25" x14ac:dyDescent="0.3">
      <c r="A36" s="7">
        <v>25873</v>
      </c>
      <c r="B36" s="2">
        <f t="shared" si="0"/>
        <v>3957</v>
      </c>
      <c r="C36" s="3">
        <f>592365.13+15600.59</f>
        <v>607965.72</v>
      </c>
      <c r="D36" s="3">
        <v>1296838.6000000001</v>
      </c>
      <c r="E36" s="3">
        <v>27611.08</v>
      </c>
      <c r="F36" s="4">
        <v>1398902.19</v>
      </c>
      <c r="G36" s="3">
        <v>10403871.02</v>
      </c>
      <c r="H36" s="4">
        <v>2073238.52</v>
      </c>
      <c r="I36" s="3">
        <v>4309776.18</v>
      </c>
      <c r="J36" s="3">
        <v>505855.07</v>
      </c>
      <c r="K36" s="4">
        <v>985574.94</v>
      </c>
      <c r="L36" s="3">
        <v>140699.25</v>
      </c>
      <c r="M36" s="3">
        <v>144604.79999999999</v>
      </c>
      <c r="N36" s="3">
        <v>0</v>
      </c>
      <c r="O36" s="34">
        <v>880224.2</v>
      </c>
      <c r="P36" s="34">
        <v>1434687.07</v>
      </c>
      <c r="Q36" s="34" t="s">
        <v>25</v>
      </c>
      <c r="R36" s="4">
        <v>1268355.03</v>
      </c>
      <c r="S36" s="3">
        <v>22737293.559999999</v>
      </c>
      <c r="T36" s="4">
        <v>1152436.6200000001</v>
      </c>
      <c r="U36" s="4">
        <v>0</v>
      </c>
      <c r="V36" s="4">
        <v>0</v>
      </c>
      <c r="W36" s="23">
        <v>105.87</v>
      </c>
      <c r="X36" s="34"/>
      <c r="Y36" s="3">
        <v>49368039.719999999</v>
      </c>
    </row>
    <row r="37" spans="1:25" x14ac:dyDescent="0.3">
      <c r="A37" s="7">
        <v>25903</v>
      </c>
      <c r="B37" s="2">
        <f t="shared" si="0"/>
        <v>3987</v>
      </c>
      <c r="C37" s="3">
        <f>753403.6+28054.51</f>
        <v>781458.11</v>
      </c>
      <c r="D37" s="3">
        <v>2621165.2400000002</v>
      </c>
      <c r="E37" s="3">
        <v>189686.07</v>
      </c>
      <c r="F37" s="4">
        <v>1460347.53</v>
      </c>
      <c r="G37" s="3">
        <v>10723156.18</v>
      </c>
      <c r="H37" s="4">
        <v>2107226.2200000002</v>
      </c>
      <c r="I37" s="3">
        <v>4694588.08</v>
      </c>
      <c r="J37" s="3">
        <v>447692.27</v>
      </c>
      <c r="K37" s="4">
        <v>681118.95</v>
      </c>
      <c r="L37" s="3">
        <v>132155.5</v>
      </c>
      <c r="M37" s="3">
        <v>156890.53</v>
      </c>
      <c r="N37" s="3">
        <v>0</v>
      </c>
      <c r="O37" s="34">
        <v>745923.46</v>
      </c>
      <c r="P37" s="34">
        <v>789650.07</v>
      </c>
      <c r="Q37" s="34" t="s">
        <v>25</v>
      </c>
      <c r="R37" s="4">
        <v>1818660.21</v>
      </c>
      <c r="S37" s="3">
        <v>20541216.050000001</v>
      </c>
      <c r="T37" s="4">
        <v>1144589.6299999999</v>
      </c>
      <c r="U37" s="4">
        <v>0</v>
      </c>
      <c r="V37" s="4">
        <v>0</v>
      </c>
      <c r="W37" s="23">
        <v>3280.15</v>
      </c>
      <c r="X37" s="34"/>
      <c r="Y37" s="3">
        <v>49038804.25</v>
      </c>
    </row>
    <row r="38" spans="1:25" x14ac:dyDescent="0.3">
      <c r="A38" s="7">
        <v>25934</v>
      </c>
      <c r="B38" s="2">
        <f t="shared" si="0"/>
        <v>4018</v>
      </c>
      <c r="C38" s="3">
        <f>631327.19+20135.13</f>
        <v>651462.31999999995</v>
      </c>
      <c r="D38" s="3">
        <v>1585134.92</v>
      </c>
      <c r="E38" s="3">
        <v>485177.53</v>
      </c>
      <c r="F38" s="4">
        <v>2020676.8</v>
      </c>
      <c r="G38" s="3">
        <v>9971683.9700000007</v>
      </c>
      <c r="H38" s="4">
        <v>2007417.45</v>
      </c>
      <c r="I38" s="3">
        <v>4100708.11</v>
      </c>
      <c r="J38" s="3">
        <v>468238.31</v>
      </c>
      <c r="K38" s="4">
        <v>254248.48</v>
      </c>
      <c r="L38" s="3">
        <v>129752.44</v>
      </c>
      <c r="M38" s="3">
        <v>174750.22</v>
      </c>
      <c r="N38" s="3">
        <v>0</v>
      </c>
      <c r="O38" s="34">
        <v>924198.7</v>
      </c>
      <c r="P38" s="34">
        <v>987815.55</v>
      </c>
      <c r="Q38" s="34" t="s">
        <v>25</v>
      </c>
      <c r="R38" s="4">
        <v>2214113.4900000002</v>
      </c>
      <c r="S38" s="3">
        <v>24649096.800000001</v>
      </c>
      <c r="T38" s="4">
        <v>1063928.19</v>
      </c>
      <c r="U38" s="4">
        <v>0</v>
      </c>
      <c r="V38" s="4">
        <v>0</v>
      </c>
      <c r="W38" s="23">
        <v>5692.28</v>
      </c>
      <c r="X38" s="34"/>
      <c r="Y38" s="3">
        <v>51694095.560000002</v>
      </c>
    </row>
    <row r="39" spans="1:25" x14ac:dyDescent="0.3">
      <c r="A39" s="7">
        <v>25965</v>
      </c>
      <c r="B39" s="2">
        <f t="shared" si="0"/>
        <v>4049</v>
      </c>
      <c r="C39" s="3">
        <f>643850.15+21730.26</f>
        <v>665580.41</v>
      </c>
      <c r="D39" s="3">
        <v>1721443.29</v>
      </c>
      <c r="E39" s="3">
        <v>639606.87</v>
      </c>
      <c r="F39" s="4">
        <v>1365734.07</v>
      </c>
      <c r="G39" s="3">
        <v>10790141.09</v>
      </c>
      <c r="H39" s="4">
        <v>2096593.84</v>
      </c>
      <c r="I39" s="3">
        <v>4118812.03</v>
      </c>
      <c r="J39" s="3">
        <v>456158.29</v>
      </c>
      <c r="K39" s="4">
        <v>2490549.61</v>
      </c>
      <c r="L39" s="3">
        <v>140532.09</v>
      </c>
      <c r="M39" s="3">
        <v>146800.6</v>
      </c>
      <c r="N39" s="3">
        <v>0</v>
      </c>
      <c r="O39" s="34">
        <v>950006.64</v>
      </c>
      <c r="P39" s="34">
        <v>1845686.82</v>
      </c>
      <c r="Q39" s="34" t="s">
        <v>25</v>
      </c>
      <c r="R39" s="4">
        <v>1202144.29</v>
      </c>
      <c r="S39" s="3">
        <v>19901576.390000001</v>
      </c>
      <c r="T39" s="4">
        <v>911804.67</v>
      </c>
      <c r="U39" s="4">
        <v>0</v>
      </c>
      <c r="V39" s="4">
        <v>0</v>
      </c>
      <c r="W39" s="23">
        <v>571.22</v>
      </c>
      <c r="X39" s="34"/>
      <c r="Y39" s="3">
        <v>49443742.219999999</v>
      </c>
    </row>
    <row r="40" spans="1:25" x14ac:dyDescent="0.3">
      <c r="A40" s="7">
        <v>25993</v>
      </c>
      <c r="B40" s="2">
        <f t="shared" si="0"/>
        <v>4077</v>
      </c>
      <c r="C40" s="3">
        <f>5967872.63+125060.42</f>
        <v>6092933.0499999998</v>
      </c>
      <c r="D40" s="3">
        <v>19935894.800000001</v>
      </c>
      <c r="E40" s="3">
        <v>1760967.74</v>
      </c>
      <c r="F40" s="4">
        <v>1902301.51</v>
      </c>
      <c r="G40" s="3">
        <v>8762702.1999999993</v>
      </c>
      <c r="H40" s="4">
        <v>1866606.1</v>
      </c>
      <c r="I40" s="3">
        <v>4288755.17</v>
      </c>
      <c r="J40" s="3">
        <v>448584.05</v>
      </c>
      <c r="K40" s="4">
        <v>22969517.579999998</v>
      </c>
      <c r="L40" s="3">
        <v>288714.28000000003</v>
      </c>
      <c r="M40" s="3">
        <v>131581.26</v>
      </c>
      <c r="N40" s="3">
        <v>0</v>
      </c>
      <c r="O40" s="34">
        <v>807754.43</v>
      </c>
      <c r="P40" s="34">
        <v>794855.2</v>
      </c>
      <c r="Q40" s="34" t="s">
        <v>25</v>
      </c>
      <c r="R40" s="4">
        <v>1261055.49</v>
      </c>
      <c r="S40" s="3">
        <v>20019402.940000001</v>
      </c>
      <c r="T40" s="4">
        <v>1089316.45</v>
      </c>
      <c r="U40" s="4">
        <v>0</v>
      </c>
      <c r="V40" s="4">
        <v>0</v>
      </c>
      <c r="W40" s="23">
        <v>715.78</v>
      </c>
      <c r="X40" s="34"/>
      <c r="Y40" s="3">
        <v>92421658.030000001</v>
      </c>
    </row>
    <row r="41" spans="1:25" x14ac:dyDescent="0.3">
      <c r="A41" s="7">
        <v>26024</v>
      </c>
      <c r="B41" s="2">
        <f t="shared" si="0"/>
        <v>4108</v>
      </c>
      <c r="C41" s="3">
        <f>4915636.3+76437.21</f>
        <v>4992073.51</v>
      </c>
      <c r="D41" s="3">
        <v>17816693.18</v>
      </c>
      <c r="E41" s="3">
        <v>8800611.3300000001</v>
      </c>
      <c r="F41" s="4">
        <v>2100119.2200000002</v>
      </c>
      <c r="G41" s="3">
        <v>9743619.4700000007</v>
      </c>
      <c r="H41" s="4">
        <v>1905072.27</v>
      </c>
      <c r="I41" s="3">
        <v>4454381.12</v>
      </c>
      <c r="J41" s="3">
        <v>591794.88</v>
      </c>
      <c r="K41" s="4">
        <v>22435999.239999998</v>
      </c>
      <c r="L41" s="3">
        <v>328953.46999999997</v>
      </c>
      <c r="M41" s="3">
        <v>155928.53</v>
      </c>
      <c r="N41" s="3">
        <v>0</v>
      </c>
      <c r="O41" s="34">
        <v>1157132.77</v>
      </c>
      <c r="P41" s="34">
        <v>989172.53</v>
      </c>
      <c r="Q41" s="34" t="s">
        <v>25</v>
      </c>
      <c r="R41" s="4">
        <v>1500240.22</v>
      </c>
      <c r="S41" s="3">
        <v>22079485.789999999</v>
      </c>
      <c r="T41" s="4">
        <v>1305215.9099999999</v>
      </c>
      <c r="U41" s="4">
        <v>0</v>
      </c>
      <c r="V41" s="4">
        <v>0</v>
      </c>
      <c r="W41" s="23">
        <v>2138.46</v>
      </c>
      <c r="X41" s="34"/>
      <c r="Y41" s="3">
        <v>100358631.90000001</v>
      </c>
    </row>
    <row r="42" spans="1:25" x14ac:dyDescent="0.3">
      <c r="A42" s="7">
        <v>26054</v>
      </c>
      <c r="B42" s="2">
        <f t="shared" si="0"/>
        <v>4138</v>
      </c>
      <c r="C42" s="3">
        <f>1046359.04+19854.87</f>
        <v>1066213.9100000001</v>
      </c>
      <c r="D42" s="3">
        <v>835016.11</v>
      </c>
      <c r="E42" s="3">
        <v>126749.51</v>
      </c>
      <c r="F42" s="4">
        <v>1570776.82</v>
      </c>
      <c r="G42" s="3">
        <v>10732997.25</v>
      </c>
      <c r="H42" s="4">
        <v>2067620.5</v>
      </c>
      <c r="I42" s="3">
        <v>4638599.17</v>
      </c>
      <c r="J42" s="3">
        <v>598457.91</v>
      </c>
      <c r="K42" s="4">
        <v>2928916.78</v>
      </c>
      <c r="L42" s="3">
        <v>172811.2</v>
      </c>
      <c r="M42" s="3">
        <v>153604.28</v>
      </c>
      <c r="N42" s="3">
        <v>0</v>
      </c>
      <c r="O42" s="34">
        <v>983888.5</v>
      </c>
      <c r="P42" s="34">
        <v>927258.8</v>
      </c>
      <c r="Q42" s="34" t="s">
        <v>25</v>
      </c>
      <c r="R42" s="4">
        <v>1344050.54</v>
      </c>
      <c r="S42" s="3">
        <v>23256121.850000001</v>
      </c>
      <c r="T42" s="4">
        <v>1238656.77</v>
      </c>
      <c r="U42" s="4">
        <v>0</v>
      </c>
      <c r="V42" s="4">
        <v>0</v>
      </c>
      <c r="W42" s="23">
        <v>234.14</v>
      </c>
      <c r="X42" s="34"/>
      <c r="Y42" s="3">
        <v>52641974.039999999</v>
      </c>
    </row>
    <row r="43" spans="1:25" x14ac:dyDescent="0.3">
      <c r="A43" s="7">
        <v>26085</v>
      </c>
      <c r="B43" s="2">
        <f t="shared" si="0"/>
        <v>4169</v>
      </c>
      <c r="C43" s="3">
        <f>1298790.02+39118.86</f>
        <v>1337908.8800000001</v>
      </c>
      <c r="D43" s="3">
        <v>2698970.62</v>
      </c>
      <c r="E43" s="3">
        <v>79755.31</v>
      </c>
      <c r="F43" s="4">
        <v>1504338.94</v>
      </c>
      <c r="G43" s="3">
        <v>12124767.75</v>
      </c>
      <c r="H43" s="4">
        <v>2274510</v>
      </c>
      <c r="I43" s="3">
        <v>5020518.8499999996</v>
      </c>
      <c r="J43" s="3">
        <v>615948.77</v>
      </c>
      <c r="K43" s="4">
        <v>1861338.98</v>
      </c>
      <c r="L43" s="3">
        <v>192037.98</v>
      </c>
      <c r="M43" s="3">
        <v>159783.57999999999</v>
      </c>
      <c r="N43" s="3">
        <v>83417.850000000006</v>
      </c>
      <c r="O43" s="34">
        <v>980100.24</v>
      </c>
      <c r="P43" s="34">
        <v>3005415.41</v>
      </c>
      <c r="Q43" s="34" t="s">
        <v>25</v>
      </c>
      <c r="R43" s="4">
        <v>1608043.75</v>
      </c>
      <c r="S43" s="3">
        <v>24142557.239999998</v>
      </c>
      <c r="T43" s="4">
        <v>1109861.67</v>
      </c>
      <c r="U43" s="4">
        <v>0</v>
      </c>
      <c r="V43" s="4">
        <v>0</v>
      </c>
      <c r="W43" s="23">
        <v>69.069999999999993</v>
      </c>
      <c r="X43" s="34"/>
      <c r="Y43" s="3">
        <v>58799344.890000001</v>
      </c>
    </row>
    <row r="44" spans="1:25" x14ac:dyDescent="0.3">
      <c r="A44" s="7">
        <v>26115</v>
      </c>
      <c r="B44" s="2">
        <f t="shared" si="0"/>
        <v>4199</v>
      </c>
      <c r="C44" s="3">
        <f>964030.97+27560.08</f>
        <v>991591.04999999993</v>
      </c>
      <c r="D44" s="3">
        <v>2672759.92</v>
      </c>
      <c r="E44" s="3">
        <v>44688.88</v>
      </c>
      <c r="F44" s="4">
        <v>1202783.1000000001</v>
      </c>
      <c r="G44" s="3">
        <v>11419702.300000001</v>
      </c>
      <c r="H44" s="4">
        <v>2136736.71</v>
      </c>
      <c r="I44" s="3">
        <v>4496107.87</v>
      </c>
      <c r="J44" s="3">
        <v>667058.73</v>
      </c>
      <c r="K44" s="4">
        <v>490774.2</v>
      </c>
      <c r="L44" s="3">
        <v>180278.25</v>
      </c>
      <c r="M44" s="3">
        <v>155699.42000000001</v>
      </c>
      <c r="N44" s="3">
        <v>12399.87</v>
      </c>
      <c r="O44" s="34">
        <v>1099418.8</v>
      </c>
      <c r="P44" s="34">
        <v>2490234.96</v>
      </c>
      <c r="Q44" s="34" t="s">
        <v>25</v>
      </c>
      <c r="R44" s="4">
        <v>1115495.8999999999</v>
      </c>
      <c r="S44" s="3">
        <v>27842362.030000001</v>
      </c>
      <c r="T44" s="4">
        <v>1314676.72</v>
      </c>
      <c r="U44" s="4">
        <v>0</v>
      </c>
      <c r="V44" s="4">
        <v>0</v>
      </c>
      <c r="W44" s="23">
        <v>138.66999999999999</v>
      </c>
      <c r="X44" s="34"/>
      <c r="Y44" s="3">
        <v>58332907.380000003</v>
      </c>
    </row>
    <row r="45" spans="1:25" x14ac:dyDescent="0.3">
      <c r="A45" s="7">
        <v>26146</v>
      </c>
      <c r="B45" s="2">
        <f t="shared" si="0"/>
        <v>4230</v>
      </c>
      <c r="C45" s="3">
        <f>719883.13+21722.34</f>
        <v>741605.47</v>
      </c>
      <c r="D45" s="3">
        <v>1540294.17</v>
      </c>
      <c r="E45" s="3">
        <v>70439.77</v>
      </c>
      <c r="F45" s="4">
        <v>1856163.69</v>
      </c>
      <c r="G45" s="3">
        <v>11011757.32</v>
      </c>
      <c r="H45" s="4">
        <v>2067891.66</v>
      </c>
      <c r="I45" s="3">
        <v>4697635.6500000004</v>
      </c>
      <c r="J45" s="3">
        <v>634821.94999999995</v>
      </c>
      <c r="K45" s="4">
        <v>1160507.1599999999</v>
      </c>
      <c r="L45" s="3">
        <v>184139.33</v>
      </c>
      <c r="M45" s="3">
        <v>149125.39000000001</v>
      </c>
      <c r="N45" s="3">
        <v>27181.61</v>
      </c>
      <c r="O45" s="34">
        <v>976617.84</v>
      </c>
      <c r="P45" s="34">
        <v>4656677.9800000004</v>
      </c>
      <c r="Q45" s="34" t="s">
        <v>25</v>
      </c>
      <c r="R45" s="4">
        <v>1385492.9</v>
      </c>
      <c r="S45" s="3">
        <v>28126701.710000001</v>
      </c>
      <c r="T45" s="4">
        <v>1380528.13</v>
      </c>
      <c r="U45" s="4">
        <v>0</v>
      </c>
      <c r="V45" s="4">
        <v>0</v>
      </c>
      <c r="W45" s="23">
        <v>80.150000000000006</v>
      </c>
      <c r="X45" s="34"/>
      <c r="Y45" s="3">
        <v>60667661.880000003</v>
      </c>
    </row>
    <row r="46" spans="1:25" x14ac:dyDescent="0.3">
      <c r="A46" s="7">
        <v>26177</v>
      </c>
      <c r="B46" s="2">
        <f t="shared" si="0"/>
        <v>4261</v>
      </c>
      <c r="C46" s="3">
        <f>1366641.91+40564.43</f>
        <v>1407206.3399999999</v>
      </c>
      <c r="D46" s="3">
        <v>4122413.77</v>
      </c>
      <c r="E46" s="3">
        <v>75333.05</v>
      </c>
      <c r="F46" s="4">
        <v>1667707.59</v>
      </c>
      <c r="G46" s="3">
        <v>13036800.539999999</v>
      </c>
      <c r="H46" s="4">
        <v>2375436.5099999998</v>
      </c>
      <c r="I46" s="3">
        <v>4873200.2</v>
      </c>
      <c r="J46" s="3">
        <v>606392.19999999995</v>
      </c>
      <c r="K46" s="4">
        <v>1535745.13</v>
      </c>
      <c r="L46" s="3">
        <v>181312.65</v>
      </c>
      <c r="M46" s="3">
        <v>171270.58</v>
      </c>
      <c r="N46" s="3">
        <v>341415.77</v>
      </c>
      <c r="O46" s="34">
        <v>969270.96</v>
      </c>
      <c r="P46" s="34">
        <v>1072685.48</v>
      </c>
      <c r="Q46" s="34" t="s">
        <v>25</v>
      </c>
      <c r="R46" s="4">
        <v>1206299.6000000001</v>
      </c>
      <c r="S46" s="3">
        <v>28155599.550000001</v>
      </c>
      <c r="T46" s="4">
        <v>1362786.84</v>
      </c>
      <c r="U46" s="4">
        <v>0</v>
      </c>
      <c r="V46" s="4">
        <v>0</v>
      </c>
      <c r="W46" s="23">
        <v>154.21</v>
      </c>
      <c r="X46" s="34"/>
      <c r="Y46" s="3">
        <v>63161030.969999999</v>
      </c>
    </row>
    <row r="47" spans="1:25" x14ac:dyDescent="0.3">
      <c r="A47" s="7">
        <v>26207</v>
      </c>
      <c r="B47" s="2">
        <f t="shared" si="0"/>
        <v>4291</v>
      </c>
      <c r="C47" s="3">
        <f>1445902.63+30901.15</f>
        <v>1476803.7799999998</v>
      </c>
      <c r="D47" s="3">
        <v>3751903.58</v>
      </c>
      <c r="E47" s="3">
        <v>102353.53</v>
      </c>
      <c r="F47" s="4">
        <v>1628259.31</v>
      </c>
      <c r="G47" s="3">
        <v>11158388.029999999</v>
      </c>
      <c r="H47" s="4">
        <v>2119396.23</v>
      </c>
      <c r="I47" s="3">
        <v>4452674.4400000004</v>
      </c>
      <c r="J47" s="3">
        <v>583652.94999999995</v>
      </c>
      <c r="K47" s="4">
        <v>720835.8</v>
      </c>
      <c r="L47" s="3">
        <v>175357.51</v>
      </c>
      <c r="M47" s="3">
        <v>164863.1</v>
      </c>
      <c r="N47" s="3">
        <v>43233.22</v>
      </c>
      <c r="O47" s="34">
        <v>897698.81</v>
      </c>
      <c r="P47" s="34">
        <v>1185699.32</v>
      </c>
      <c r="Q47" s="34" t="s">
        <v>25</v>
      </c>
      <c r="R47" s="4">
        <v>1425730.18</v>
      </c>
      <c r="S47" s="3">
        <v>28092273.300000001</v>
      </c>
      <c r="T47" s="4">
        <v>1238269.3999999999</v>
      </c>
      <c r="U47" s="4">
        <v>0</v>
      </c>
      <c r="V47" s="4">
        <v>0</v>
      </c>
      <c r="W47" s="23">
        <v>701.62</v>
      </c>
      <c r="X47" s="34"/>
      <c r="Y47" s="3">
        <v>59218094.109999999</v>
      </c>
    </row>
    <row r="48" spans="1:25" x14ac:dyDescent="0.3">
      <c r="A48" s="7">
        <v>26238</v>
      </c>
      <c r="B48" s="2">
        <f t="shared" si="0"/>
        <v>4322</v>
      </c>
      <c r="C48" s="3">
        <f>511726.58+17532.82</f>
        <v>529259.4</v>
      </c>
      <c r="D48" s="3">
        <v>1460246.8</v>
      </c>
      <c r="E48" s="3">
        <v>69106.55</v>
      </c>
      <c r="F48" s="4">
        <v>1465776.88</v>
      </c>
      <c r="G48" s="3">
        <v>10768406.109999999</v>
      </c>
      <c r="H48" s="4">
        <v>2120886.2400000002</v>
      </c>
      <c r="I48" s="3">
        <v>4737858.01</v>
      </c>
      <c r="J48" s="3">
        <v>601250.21</v>
      </c>
      <c r="K48" s="4">
        <v>1287716.74</v>
      </c>
      <c r="L48" s="3">
        <v>189218.59</v>
      </c>
      <c r="M48" s="3">
        <v>183667.37</v>
      </c>
      <c r="N48" s="3">
        <v>17643.009999999998</v>
      </c>
      <c r="O48" s="34">
        <v>896715.33</v>
      </c>
      <c r="P48" s="34">
        <v>1102317.01</v>
      </c>
      <c r="Q48" s="34" t="s">
        <v>25</v>
      </c>
      <c r="R48" s="4">
        <v>1441350.48</v>
      </c>
      <c r="S48" s="3">
        <v>29592481.739999998</v>
      </c>
      <c r="T48" s="4">
        <v>1456907.63</v>
      </c>
      <c r="U48" s="4">
        <v>0</v>
      </c>
      <c r="V48" s="4">
        <v>0</v>
      </c>
      <c r="W48" s="23">
        <v>50.43</v>
      </c>
      <c r="X48" s="34"/>
      <c r="Y48" s="3">
        <v>57920858.530000001</v>
      </c>
    </row>
    <row r="49" spans="1:25" x14ac:dyDescent="0.3">
      <c r="A49" s="7">
        <v>26268</v>
      </c>
      <c r="B49" s="2">
        <f t="shared" si="0"/>
        <v>4352</v>
      </c>
      <c r="C49" s="3">
        <f>1032056.1+26551.49</f>
        <v>1058607.5900000001</v>
      </c>
      <c r="D49" s="3">
        <v>2466948.69</v>
      </c>
      <c r="E49" s="3">
        <v>379007.22</v>
      </c>
      <c r="F49" s="4">
        <v>1759955.59</v>
      </c>
      <c r="G49" s="3">
        <v>11087334.539999999</v>
      </c>
      <c r="H49" s="4">
        <v>2201308.5499999998</v>
      </c>
      <c r="I49" s="3">
        <v>4505424.58</v>
      </c>
      <c r="J49" s="3">
        <v>512454.86</v>
      </c>
      <c r="K49" s="4">
        <v>757163.55</v>
      </c>
      <c r="L49" s="3">
        <v>151433.25</v>
      </c>
      <c r="M49" s="3">
        <v>188756.89</v>
      </c>
      <c r="N49" s="3">
        <v>438686.01</v>
      </c>
      <c r="O49" s="34">
        <v>879551.32</v>
      </c>
      <c r="P49" s="34">
        <v>956575.95</v>
      </c>
      <c r="Q49" s="34" t="s">
        <v>25</v>
      </c>
      <c r="R49" s="4">
        <v>2039788.08</v>
      </c>
      <c r="S49" s="3">
        <v>29428386.670000002</v>
      </c>
      <c r="T49" s="4">
        <v>1415875.78</v>
      </c>
      <c r="U49" s="4">
        <v>0</v>
      </c>
      <c r="V49" s="4">
        <v>0</v>
      </c>
      <c r="W49" s="23">
        <v>4973.97</v>
      </c>
      <c r="X49" s="34"/>
      <c r="Y49" s="3">
        <v>60232233.090000004</v>
      </c>
    </row>
    <row r="50" spans="1:25" x14ac:dyDescent="0.3">
      <c r="A50" s="7">
        <v>26299</v>
      </c>
      <c r="B50" s="2">
        <f t="shared" si="0"/>
        <v>4383</v>
      </c>
      <c r="C50" s="3">
        <f>1126413.4+27528.83</f>
        <v>1153942.23</v>
      </c>
      <c r="D50" s="3">
        <v>3464834.03</v>
      </c>
      <c r="E50" s="3">
        <v>561974.18999999994</v>
      </c>
      <c r="F50" s="4">
        <v>1965087.87</v>
      </c>
      <c r="G50" s="3">
        <v>10599824.15</v>
      </c>
      <c r="H50" s="4">
        <v>2132385.84</v>
      </c>
      <c r="I50" s="3">
        <v>4480325.8600000003</v>
      </c>
      <c r="J50" s="3">
        <v>550121.01</v>
      </c>
      <c r="K50" s="4">
        <v>377629.66</v>
      </c>
      <c r="L50" s="3">
        <v>170455.44</v>
      </c>
      <c r="M50" s="3">
        <v>218983.17</v>
      </c>
      <c r="N50" s="3">
        <v>84298.72</v>
      </c>
      <c r="O50" s="34">
        <v>996820.08</v>
      </c>
      <c r="P50" s="34">
        <v>1200796.6599999999</v>
      </c>
      <c r="Q50" s="34" t="s">
        <v>25</v>
      </c>
      <c r="R50" s="4">
        <v>2376901.23</v>
      </c>
      <c r="S50" s="3">
        <v>34887026.990000002</v>
      </c>
      <c r="T50" s="4">
        <v>1587264.87</v>
      </c>
      <c r="U50" s="4">
        <v>0</v>
      </c>
      <c r="V50" s="4">
        <v>0</v>
      </c>
      <c r="W50" s="23">
        <v>6098.8</v>
      </c>
      <c r="X50" s="34"/>
      <c r="Y50" s="3">
        <v>66814770.799999997</v>
      </c>
    </row>
    <row r="51" spans="1:25" x14ac:dyDescent="0.3">
      <c r="A51" s="7">
        <v>26330</v>
      </c>
      <c r="B51" s="2">
        <f t="shared" si="0"/>
        <v>4414</v>
      </c>
      <c r="C51" s="3">
        <f>775346.98+24176.16</f>
        <v>799523.14</v>
      </c>
      <c r="D51" s="3">
        <v>1963807.76</v>
      </c>
      <c r="E51" s="3">
        <v>833916.3</v>
      </c>
      <c r="F51" s="4">
        <v>2954285.42</v>
      </c>
      <c r="G51" s="3">
        <v>11427557.16</v>
      </c>
      <c r="H51" s="4">
        <v>2262138.44</v>
      </c>
      <c r="I51" s="3">
        <v>4402049.54</v>
      </c>
      <c r="J51" s="3">
        <v>516936.79</v>
      </c>
      <c r="K51" s="4">
        <v>270415.83</v>
      </c>
      <c r="L51" s="3">
        <v>141577.15</v>
      </c>
      <c r="M51" s="3">
        <v>194600.04</v>
      </c>
      <c r="N51" s="3">
        <v>47056.09</v>
      </c>
      <c r="O51" s="34">
        <v>849357.3</v>
      </c>
      <c r="P51" s="34">
        <v>1095150.3700000001</v>
      </c>
      <c r="Q51" s="34" t="s">
        <v>25</v>
      </c>
      <c r="R51" s="4">
        <v>1367203.89</v>
      </c>
      <c r="S51" s="3">
        <v>26612905.43</v>
      </c>
      <c r="T51" s="4">
        <v>1131512.1200000001</v>
      </c>
      <c r="U51" s="4">
        <v>0</v>
      </c>
      <c r="V51" s="4">
        <v>0</v>
      </c>
      <c r="W51" s="23">
        <v>2425.66</v>
      </c>
      <c r="X51" s="34"/>
      <c r="Y51" s="3">
        <v>56872418.43</v>
      </c>
    </row>
    <row r="52" spans="1:25" x14ac:dyDescent="0.3">
      <c r="A52" s="7">
        <v>26359</v>
      </c>
      <c r="B52" s="2">
        <f t="shared" si="0"/>
        <v>4443</v>
      </c>
      <c r="C52" s="3">
        <f>5821162.33+117416.19</f>
        <v>5938578.5200000005</v>
      </c>
      <c r="D52" s="3">
        <v>18383741.620000001</v>
      </c>
      <c r="E52" s="3">
        <v>1681225.41</v>
      </c>
      <c r="F52" s="4">
        <v>2394721.4</v>
      </c>
      <c r="G52" s="3">
        <v>10455273.539999999</v>
      </c>
      <c r="H52" s="4">
        <v>2085051.44</v>
      </c>
      <c r="I52" s="3">
        <v>4434182.96</v>
      </c>
      <c r="J52" s="3">
        <v>508512.25</v>
      </c>
      <c r="K52" s="4">
        <v>15696396.560000001</v>
      </c>
      <c r="L52" s="3">
        <v>301661.19</v>
      </c>
      <c r="M52" s="3">
        <v>216575.22</v>
      </c>
      <c r="N52" s="3">
        <v>437653.45</v>
      </c>
      <c r="O52" s="34">
        <v>828002.42</v>
      </c>
      <c r="P52" s="34">
        <v>986585.29</v>
      </c>
      <c r="Q52" s="34" t="s">
        <v>25</v>
      </c>
      <c r="R52" s="4">
        <v>1434541.08</v>
      </c>
      <c r="S52" s="3">
        <v>26360108.07</v>
      </c>
      <c r="T52" s="4">
        <v>1377309.61</v>
      </c>
      <c r="U52" s="4">
        <v>0</v>
      </c>
      <c r="V52" s="4">
        <v>0</v>
      </c>
      <c r="W52" s="23">
        <v>6013.97</v>
      </c>
      <c r="X52" s="34"/>
      <c r="Y52" s="3">
        <v>93526134</v>
      </c>
    </row>
    <row r="53" spans="1:25" x14ac:dyDescent="0.3">
      <c r="A53" s="7">
        <v>26390</v>
      </c>
      <c r="B53" s="2">
        <f t="shared" si="0"/>
        <v>4474</v>
      </c>
      <c r="C53" s="3">
        <f>7621845.46+98700.12</f>
        <v>7720545.5800000001</v>
      </c>
      <c r="D53" s="3">
        <v>28468945.620000001</v>
      </c>
      <c r="E53" s="3">
        <v>9525103.2799999993</v>
      </c>
      <c r="F53" s="4">
        <v>3388243.12</v>
      </c>
      <c r="G53" s="3">
        <v>11120732.869999999</v>
      </c>
      <c r="H53" s="4">
        <v>2246339.54</v>
      </c>
      <c r="I53" s="3">
        <v>4590923.41</v>
      </c>
      <c r="J53" s="3">
        <v>638532.14</v>
      </c>
      <c r="K53" s="4">
        <v>26637065.260000002</v>
      </c>
      <c r="L53" s="3">
        <v>359301.96</v>
      </c>
      <c r="M53" s="3">
        <v>236280.07</v>
      </c>
      <c r="N53" s="3">
        <v>24571.4</v>
      </c>
      <c r="O53" s="34">
        <v>1087801.43</v>
      </c>
      <c r="P53" s="34">
        <v>1154204.51</v>
      </c>
      <c r="Q53" s="34" t="s">
        <v>25</v>
      </c>
      <c r="R53" s="4">
        <v>1528183.06</v>
      </c>
      <c r="S53" s="3">
        <v>30412337.140000001</v>
      </c>
      <c r="T53" s="4">
        <v>1359034.33</v>
      </c>
      <c r="U53" s="4">
        <v>0</v>
      </c>
      <c r="V53" s="4">
        <v>0</v>
      </c>
      <c r="W53" s="23">
        <v>452.75</v>
      </c>
      <c r="X53" s="34"/>
      <c r="Y53" s="3">
        <v>130498597.47</v>
      </c>
    </row>
    <row r="54" spans="1:25" x14ac:dyDescent="0.3">
      <c r="A54" s="7">
        <v>26420</v>
      </c>
      <c r="B54" s="2">
        <f t="shared" si="0"/>
        <v>4504</v>
      </c>
      <c r="C54" s="3">
        <f>1237364.68+24013.72</f>
        <v>1261378.3999999999</v>
      </c>
      <c r="D54" s="3">
        <v>3598984.47</v>
      </c>
      <c r="E54" s="3">
        <v>100264.1</v>
      </c>
      <c r="F54" s="4">
        <v>2951539.46</v>
      </c>
      <c r="G54" s="3">
        <v>11740438.960000001</v>
      </c>
      <c r="H54" s="4">
        <v>2164142.38</v>
      </c>
      <c r="I54" s="3">
        <v>5039446.55</v>
      </c>
      <c r="J54" s="3">
        <v>692788.74</v>
      </c>
      <c r="K54" s="4">
        <v>11292735.460000001</v>
      </c>
      <c r="L54" s="3">
        <v>245147.65</v>
      </c>
      <c r="M54" s="3">
        <v>218760.71</v>
      </c>
      <c r="N54" s="3">
        <v>54.87</v>
      </c>
      <c r="O54" s="34">
        <v>1156263.42</v>
      </c>
      <c r="P54" s="34">
        <v>2878763.98</v>
      </c>
      <c r="Q54" s="34" t="s">
        <v>25</v>
      </c>
      <c r="R54" s="4">
        <v>1353890.65</v>
      </c>
      <c r="S54" s="3">
        <v>30946068.219999999</v>
      </c>
      <c r="T54" s="4">
        <v>1475667.15</v>
      </c>
      <c r="U54" s="4">
        <v>0</v>
      </c>
      <c r="V54" s="4">
        <v>0</v>
      </c>
      <c r="W54" s="23">
        <v>10.71</v>
      </c>
      <c r="X54" s="34"/>
      <c r="Y54" s="3">
        <v>77116345.879999995</v>
      </c>
    </row>
    <row r="55" spans="1:25" x14ac:dyDescent="0.3">
      <c r="A55" s="7">
        <v>26451</v>
      </c>
      <c r="B55" s="2">
        <f t="shared" si="0"/>
        <v>4535</v>
      </c>
      <c r="C55" s="3">
        <f>1984365.67+60664.91</f>
        <v>2045030.5799999998</v>
      </c>
      <c r="D55" s="3">
        <v>5909341.1399999997</v>
      </c>
      <c r="E55" s="3">
        <v>154775.21</v>
      </c>
      <c r="F55" s="4">
        <v>3546009.41</v>
      </c>
      <c r="G55" s="3">
        <v>12978690.57</v>
      </c>
      <c r="H55" s="4">
        <v>2393222.9700000002</v>
      </c>
      <c r="I55" s="3">
        <v>5339765.16</v>
      </c>
      <c r="J55" s="3">
        <v>651282.35</v>
      </c>
      <c r="K55" s="4">
        <v>2043183.67</v>
      </c>
      <c r="L55" s="3">
        <v>225504.05</v>
      </c>
      <c r="M55" s="3">
        <v>230241.74</v>
      </c>
      <c r="N55" s="3">
        <v>-550.86</v>
      </c>
      <c r="O55" s="34">
        <v>1085462.3500000001</v>
      </c>
      <c r="P55" s="34">
        <v>2726113.82</v>
      </c>
      <c r="Q55" s="34" t="s">
        <v>25</v>
      </c>
      <c r="R55" s="4">
        <v>1589766.75</v>
      </c>
      <c r="S55" s="3">
        <v>31408410.02</v>
      </c>
      <c r="T55" s="4">
        <v>1373823.58</v>
      </c>
      <c r="U55" s="4">
        <v>0</v>
      </c>
      <c r="V55" s="4">
        <v>0</v>
      </c>
      <c r="W55" s="23">
        <v>27.58</v>
      </c>
      <c r="X55" s="34"/>
      <c r="Y55" s="3">
        <v>73700100.090000004</v>
      </c>
    </row>
    <row r="56" spans="1:25" x14ac:dyDescent="0.3">
      <c r="A56" s="7">
        <v>26481</v>
      </c>
      <c r="B56" s="2">
        <f t="shared" si="0"/>
        <v>4565</v>
      </c>
      <c r="C56" s="3">
        <f>844045.7+26789.92</f>
        <v>870835.62</v>
      </c>
      <c r="D56" s="3">
        <v>2587585.62</v>
      </c>
      <c r="E56" s="3">
        <v>100980</v>
      </c>
      <c r="F56" s="4">
        <v>3343102.53</v>
      </c>
      <c r="G56" s="3">
        <v>11064979.460000001</v>
      </c>
      <c r="H56" s="4">
        <v>2141967.37</v>
      </c>
      <c r="I56" s="3">
        <v>4491647.5</v>
      </c>
      <c r="J56" s="3">
        <v>675406.87</v>
      </c>
      <c r="K56" s="4">
        <v>1201049.06</v>
      </c>
      <c r="L56" s="3">
        <v>192872.34</v>
      </c>
      <c r="M56" s="3">
        <v>245409.28</v>
      </c>
      <c r="N56" s="3">
        <v>1260.8</v>
      </c>
      <c r="O56" s="34">
        <v>1267093.22</v>
      </c>
      <c r="P56" s="34">
        <v>2959041.74</v>
      </c>
      <c r="Q56" s="34" t="s">
        <v>25</v>
      </c>
      <c r="R56" s="4">
        <v>1661211.07</v>
      </c>
      <c r="S56" s="3">
        <v>33185388.34</v>
      </c>
      <c r="T56" s="4">
        <v>1820135.77</v>
      </c>
      <c r="U56" s="4">
        <v>6364.82</v>
      </c>
      <c r="V56" s="4">
        <v>0</v>
      </c>
      <c r="W56" s="23">
        <v>196.14</v>
      </c>
      <c r="X56" s="34"/>
      <c r="Y56" s="3">
        <v>67810162.730000004</v>
      </c>
    </row>
    <row r="57" spans="1:25" x14ac:dyDescent="0.3">
      <c r="A57" s="7">
        <v>26512</v>
      </c>
      <c r="B57" s="2">
        <f t="shared" si="0"/>
        <v>4596</v>
      </c>
      <c r="C57" s="3">
        <f>560515.1+16546.04</f>
        <v>577061.14</v>
      </c>
      <c r="D57" s="3">
        <v>1785320.62</v>
      </c>
      <c r="E57" s="3">
        <v>99978.55</v>
      </c>
      <c r="F57" s="4">
        <v>2081571.17</v>
      </c>
      <c r="G57" s="3">
        <v>13693742.310000001</v>
      </c>
      <c r="H57" s="4">
        <v>2587982.3199999998</v>
      </c>
      <c r="I57" s="3">
        <v>5200941.62</v>
      </c>
      <c r="J57" s="3">
        <v>698708.2</v>
      </c>
      <c r="K57" s="4">
        <v>1576848.04</v>
      </c>
      <c r="L57" s="3">
        <v>212961.5</v>
      </c>
      <c r="M57" s="3">
        <v>245764.6</v>
      </c>
      <c r="N57" s="3">
        <v>421.04</v>
      </c>
      <c r="O57" s="34">
        <v>1112283.75</v>
      </c>
      <c r="P57" s="34">
        <v>4991533.25</v>
      </c>
      <c r="Q57" s="34" t="s">
        <v>25</v>
      </c>
      <c r="R57" s="4">
        <v>1573725.93</v>
      </c>
      <c r="S57" s="3">
        <v>30928751.68</v>
      </c>
      <c r="T57" s="4">
        <v>1492355.4</v>
      </c>
      <c r="U57" s="4">
        <v>11245.75</v>
      </c>
      <c r="V57" s="4">
        <v>0</v>
      </c>
      <c r="W57" s="23">
        <v>10.14</v>
      </c>
      <c r="X57" s="34"/>
      <c r="Y57" s="3">
        <v>68859961.260000005</v>
      </c>
    </row>
    <row r="58" spans="1:25" x14ac:dyDescent="0.3">
      <c r="A58" s="7">
        <v>26543</v>
      </c>
      <c r="B58" s="2">
        <f t="shared" si="0"/>
        <v>4627</v>
      </c>
      <c r="C58" s="3">
        <f>1080032.79+34384.35</f>
        <v>1114417.1400000001</v>
      </c>
      <c r="D58" s="3">
        <v>4449937.3899999997</v>
      </c>
      <c r="E58" s="3">
        <v>39982.449999999997</v>
      </c>
      <c r="F58" s="4">
        <v>1920262.31</v>
      </c>
      <c r="G58" s="3">
        <v>12322624.119999999</v>
      </c>
      <c r="H58" s="4">
        <v>2287173.7799999998</v>
      </c>
      <c r="I58" s="3">
        <v>4662413.43</v>
      </c>
      <c r="J58" s="3">
        <v>650129.73</v>
      </c>
      <c r="K58" s="4">
        <v>1232971.77</v>
      </c>
      <c r="L58" s="3">
        <v>184906.5</v>
      </c>
      <c r="M58" s="3">
        <v>263857</v>
      </c>
      <c r="N58" s="3">
        <v>525.26</v>
      </c>
      <c r="O58" s="34">
        <v>1198511.53</v>
      </c>
      <c r="P58" s="34">
        <v>1325350.1599999999</v>
      </c>
      <c r="Q58" s="34" t="s">
        <v>25</v>
      </c>
      <c r="R58" s="4">
        <v>1703169.05</v>
      </c>
      <c r="S58" s="3">
        <v>32789493.789999999</v>
      </c>
      <c r="T58" s="4">
        <v>1703851.68</v>
      </c>
      <c r="U58" s="4">
        <v>14296.16</v>
      </c>
      <c r="V58" s="4">
        <v>0</v>
      </c>
      <c r="W58" s="23">
        <v>78.37</v>
      </c>
      <c r="X58" s="34"/>
      <c r="Y58" s="3">
        <v>67849655.459999993</v>
      </c>
    </row>
    <row r="59" spans="1:25" x14ac:dyDescent="0.3">
      <c r="A59" s="7">
        <v>26573</v>
      </c>
      <c r="B59" s="2">
        <f t="shared" si="0"/>
        <v>4657</v>
      </c>
      <c r="C59" s="3">
        <f>1422010.35+31352.14</f>
        <v>1453362.49</v>
      </c>
      <c r="D59" s="3">
        <v>11977597.460000001</v>
      </c>
      <c r="E59" s="3">
        <v>107137.61</v>
      </c>
      <c r="F59" s="4">
        <v>2193149.25</v>
      </c>
      <c r="G59" s="3">
        <v>13092886.439999999</v>
      </c>
      <c r="H59" s="4">
        <v>2498711.38</v>
      </c>
      <c r="I59" s="3">
        <v>4845657.26</v>
      </c>
      <c r="J59" s="3">
        <v>566735.18000000005</v>
      </c>
      <c r="K59" s="4">
        <v>896134.51</v>
      </c>
      <c r="L59" s="3">
        <v>203781.82</v>
      </c>
      <c r="M59" s="3">
        <v>268769.26</v>
      </c>
      <c r="N59" s="3">
        <v>377.32</v>
      </c>
      <c r="O59" s="34">
        <v>1164615.21</v>
      </c>
      <c r="P59" s="34">
        <v>1559881.73</v>
      </c>
      <c r="Q59" s="34" t="s">
        <v>25</v>
      </c>
      <c r="R59" s="4">
        <v>1611855.13</v>
      </c>
      <c r="S59" s="3">
        <v>32039163.850000001</v>
      </c>
      <c r="T59" s="4">
        <v>1393215.77</v>
      </c>
      <c r="U59" s="4">
        <v>12890.55</v>
      </c>
      <c r="V59" s="4">
        <v>0</v>
      </c>
      <c r="W59" s="23">
        <v>29.31</v>
      </c>
      <c r="X59" s="34"/>
      <c r="Y59" s="3">
        <v>75873060.980000004</v>
      </c>
    </row>
    <row r="60" spans="1:25" x14ac:dyDescent="0.3">
      <c r="A60" s="7">
        <v>26604</v>
      </c>
      <c r="B60" s="2">
        <f t="shared" si="0"/>
        <v>4688</v>
      </c>
      <c r="C60" s="3">
        <f>671661.11+14408.88</f>
        <v>686069.99</v>
      </c>
      <c r="D60" s="3">
        <v>2322739.02</v>
      </c>
      <c r="E60" s="3">
        <v>45165.55</v>
      </c>
      <c r="F60" s="4">
        <v>3332213.11</v>
      </c>
      <c r="G60" s="3">
        <v>11749211.890000001</v>
      </c>
      <c r="H60" s="4">
        <v>2369518.58</v>
      </c>
      <c r="I60" s="3">
        <v>4740959.68</v>
      </c>
      <c r="J60" s="3">
        <v>651367.68000000005</v>
      </c>
      <c r="K60" s="4">
        <v>1198989.75</v>
      </c>
      <c r="L60" s="3">
        <v>205874.49</v>
      </c>
      <c r="M60" s="3">
        <v>291199.37</v>
      </c>
      <c r="N60" s="3">
        <v>4604.2299999999996</v>
      </c>
      <c r="O60" s="34">
        <v>1158708.28</v>
      </c>
      <c r="P60" s="34">
        <v>1352405.03</v>
      </c>
      <c r="Q60" s="34" t="s">
        <v>25</v>
      </c>
      <c r="R60" s="4">
        <v>1904484.28</v>
      </c>
      <c r="S60" s="3">
        <v>32388737.920000002</v>
      </c>
      <c r="T60" s="4">
        <v>1750115.35</v>
      </c>
      <c r="U60" s="4">
        <v>97729.21</v>
      </c>
      <c r="V60" s="4">
        <v>0</v>
      </c>
      <c r="W60" s="23">
        <v>13.64</v>
      </c>
      <c r="X60" s="34"/>
      <c r="Y60" s="3">
        <v>66152377.840000004</v>
      </c>
    </row>
    <row r="61" spans="1:25" x14ac:dyDescent="0.3">
      <c r="A61" s="7">
        <v>26634</v>
      </c>
      <c r="B61" s="2">
        <f t="shared" si="0"/>
        <v>4718</v>
      </c>
      <c r="C61" s="3">
        <f>887540.97+27185.56</f>
        <v>914726.53</v>
      </c>
      <c r="D61" s="3">
        <v>3810471.52</v>
      </c>
      <c r="E61" s="3">
        <v>331108.49</v>
      </c>
      <c r="F61" s="4">
        <v>2205493.7999999998</v>
      </c>
      <c r="G61" s="3">
        <v>12151529.300000001</v>
      </c>
      <c r="H61" s="4">
        <v>2441474.9500000002</v>
      </c>
      <c r="I61" s="3">
        <v>4703910.84</v>
      </c>
      <c r="J61" s="3">
        <v>516506.75</v>
      </c>
      <c r="K61" s="4">
        <v>956590.49</v>
      </c>
      <c r="L61" s="3">
        <v>156309.62</v>
      </c>
      <c r="M61" s="3">
        <v>301575.09000000003</v>
      </c>
      <c r="N61" s="3">
        <v>57.3</v>
      </c>
      <c r="O61" s="34">
        <v>1051874.47</v>
      </c>
      <c r="P61" s="34">
        <v>1257666.7</v>
      </c>
      <c r="Q61" s="34" t="s">
        <v>25</v>
      </c>
      <c r="R61" s="4">
        <v>2337181.73</v>
      </c>
      <c r="S61" s="3">
        <v>32047564.449999999</v>
      </c>
      <c r="T61" s="4">
        <v>1701220.47</v>
      </c>
      <c r="U61" s="4">
        <v>57743.35</v>
      </c>
      <c r="V61" s="4">
        <v>0</v>
      </c>
      <c r="W61" s="23">
        <v>5.0199999999999996</v>
      </c>
      <c r="X61" s="34"/>
      <c r="Y61" s="3">
        <v>66885267.520000003</v>
      </c>
    </row>
    <row r="62" spans="1:25" x14ac:dyDescent="0.3">
      <c r="A62" s="7">
        <v>26665</v>
      </c>
      <c r="B62" s="2">
        <f t="shared" si="0"/>
        <v>4749</v>
      </c>
      <c r="C62" s="3">
        <f>1071262.87+28151.85</f>
        <v>1099414.7200000002</v>
      </c>
      <c r="D62" s="3">
        <v>8638870.1199999992</v>
      </c>
      <c r="E62" s="3">
        <v>525216.59</v>
      </c>
      <c r="F62" s="4">
        <v>3767941.95</v>
      </c>
      <c r="G62" s="3">
        <v>11902582.52</v>
      </c>
      <c r="H62" s="4">
        <v>2445276.83</v>
      </c>
      <c r="I62" s="3">
        <v>4951127.66</v>
      </c>
      <c r="J62" s="3">
        <v>466605.42</v>
      </c>
      <c r="K62" s="4">
        <v>544613.26</v>
      </c>
      <c r="L62" s="3">
        <v>200657.13</v>
      </c>
      <c r="M62" s="3">
        <v>327685.43</v>
      </c>
      <c r="N62" s="3">
        <v>3580.96</v>
      </c>
      <c r="O62" s="34">
        <v>1157665.82</v>
      </c>
      <c r="P62" s="34">
        <v>1325304.53</v>
      </c>
      <c r="Q62" s="34" t="s">
        <v>25</v>
      </c>
      <c r="R62" s="4">
        <v>2672315.15</v>
      </c>
      <c r="S62" s="3">
        <v>40300060.659999996</v>
      </c>
      <c r="T62" s="4">
        <v>1633011.07</v>
      </c>
      <c r="U62" s="9">
        <v>56811.78</v>
      </c>
      <c r="V62" s="4">
        <v>0</v>
      </c>
      <c r="W62" s="23">
        <v>415.99</v>
      </c>
      <c r="X62" s="34"/>
      <c r="Y62" s="3">
        <v>81962345.810000002</v>
      </c>
    </row>
    <row r="63" spans="1:25" x14ac:dyDescent="0.3">
      <c r="A63" s="7">
        <v>26696</v>
      </c>
      <c r="B63" s="2">
        <f t="shared" si="0"/>
        <v>4780</v>
      </c>
      <c r="C63" s="3">
        <f>630372.16+24401.41</f>
        <v>654773.57000000007</v>
      </c>
      <c r="D63" s="3">
        <v>2841680.83</v>
      </c>
      <c r="E63" s="3">
        <v>815554.2</v>
      </c>
      <c r="F63" s="4">
        <v>2312937.4300000002</v>
      </c>
      <c r="G63" s="3">
        <v>12069466.390000001</v>
      </c>
      <c r="H63" s="4">
        <v>2506434.14</v>
      </c>
      <c r="I63" s="3">
        <v>4549850.67</v>
      </c>
      <c r="J63" s="3">
        <v>536967.29</v>
      </c>
      <c r="K63" s="4">
        <v>408062.96</v>
      </c>
      <c r="L63" s="3">
        <v>155592.49</v>
      </c>
      <c r="M63" s="3">
        <v>295827.73</v>
      </c>
      <c r="N63" s="3">
        <v>9840.99</v>
      </c>
      <c r="O63" s="34">
        <v>1122209.03</v>
      </c>
      <c r="P63" s="34">
        <v>1324845.01</v>
      </c>
      <c r="Q63" s="34" t="s">
        <v>25</v>
      </c>
      <c r="R63" s="4">
        <v>1686812.27</v>
      </c>
      <c r="S63" s="3">
        <v>30210429.640000001</v>
      </c>
      <c r="T63" s="4">
        <v>1456236.24</v>
      </c>
      <c r="U63" s="4">
        <v>49433.03</v>
      </c>
      <c r="V63" s="4">
        <v>0</v>
      </c>
      <c r="W63" s="23">
        <v>161.88999999999999</v>
      </c>
      <c r="X63" s="34"/>
      <c r="Y63" s="3">
        <v>62957682.770000003</v>
      </c>
    </row>
    <row r="64" spans="1:25" x14ac:dyDescent="0.3">
      <c r="A64" s="7">
        <v>26724</v>
      </c>
      <c r="B64" s="2">
        <f t="shared" si="0"/>
        <v>4808</v>
      </c>
      <c r="C64" s="3">
        <f>6419077.73+125590.88</f>
        <v>6544668.6100000003</v>
      </c>
      <c r="D64" s="3">
        <v>23029220.559999999</v>
      </c>
      <c r="E64" s="3">
        <v>1882897.98</v>
      </c>
      <c r="F64" s="4">
        <v>2470786.2999999998</v>
      </c>
      <c r="G64" s="3">
        <v>11096294.93</v>
      </c>
      <c r="H64" s="4">
        <v>2179515.35</v>
      </c>
      <c r="I64" s="3">
        <v>4557423.21</v>
      </c>
      <c r="J64" s="3">
        <v>618872.46</v>
      </c>
      <c r="K64" s="4">
        <v>13706216.060000001</v>
      </c>
      <c r="L64" s="3">
        <v>320284.63</v>
      </c>
      <c r="M64" s="3">
        <v>284076.26</v>
      </c>
      <c r="N64" s="3">
        <v>24446.3</v>
      </c>
      <c r="O64" s="34">
        <v>1008234.76</v>
      </c>
      <c r="P64" s="34">
        <v>1262805.07</v>
      </c>
      <c r="Q64" s="34" t="s">
        <v>25</v>
      </c>
      <c r="R64" s="4">
        <v>1644644.77</v>
      </c>
      <c r="S64" s="3">
        <v>30264172.07</v>
      </c>
      <c r="T64" s="4">
        <v>1666625.42</v>
      </c>
      <c r="U64" s="4">
        <v>72194.44</v>
      </c>
      <c r="V64" s="4">
        <v>0</v>
      </c>
      <c r="W64" s="23">
        <v>242.44</v>
      </c>
      <c r="X64" s="34"/>
      <c r="Y64" s="3">
        <v>102561427.18000001</v>
      </c>
    </row>
    <row r="65" spans="1:25" x14ac:dyDescent="0.3">
      <c r="A65" s="7">
        <v>26755</v>
      </c>
      <c r="B65" s="2">
        <f t="shared" si="0"/>
        <v>4839</v>
      </c>
      <c r="C65" s="3">
        <f>8005138.96+88030.1</f>
        <v>8093169.0599999996</v>
      </c>
      <c r="D65" s="3">
        <v>32159572.09</v>
      </c>
      <c r="E65" s="3">
        <v>10679084.890000001</v>
      </c>
      <c r="F65" s="4">
        <v>4212146.51</v>
      </c>
      <c r="G65" s="3">
        <v>12225782.119999999</v>
      </c>
      <c r="H65" s="4">
        <v>2458654.91</v>
      </c>
      <c r="I65" s="3">
        <v>4959769.83</v>
      </c>
      <c r="J65" s="3">
        <v>630029.26</v>
      </c>
      <c r="K65" s="4">
        <v>29065970</v>
      </c>
      <c r="L65" s="3">
        <v>384809.45</v>
      </c>
      <c r="M65" s="3">
        <v>339196.52</v>
      </c>
      <c r="N65" s="3">
        <v>17274.23</v>
      </c>
      <c r="O65" s="34">
        <v>1344079.7</v>
      </c>
      <c r="P65" s="34">
        <v>1532932.78</v>
      </c>
      <c r="Q65" s="34" t="s">
        <v>25</v>
      </c>
      <c r="R65" s="4">
        <v>1788030.16</v>
      </c>
      <c r="S65" s="3">
        <v>34851701.43</v>
      </c>
      <c r="T65" s="4">
        <v>1796930.92</v>
      </c>
      <c r="U65" s="4">
        <v>73738.850000000006</v>
      </c>
      <c r="V65" s="4">
        <v>0</v>
      </c>
      <c r="W65" s="23">
        <v>731.98</v>
      </c>
      <c r="X65" s="34"/>
      <c r="Y65" s="3">
        <v>146539865.84</v>
      </c>
    </row>
    <row r="66" spans="1:25" x14ac:dyDescent="0.3">
      <c r="A66" s="7">
        <v>26785</v>
      </c>
      <c r="B66" s="2">
        <f t="shared" ref="B66:B129" si="1">A66-21916</f>
        <v>4869</v>
      </c>
      <c r="C66" s="3">
        <f>706007.93+22497.81</f>
        <v>728505.74000000011</v>
      </c>
      <c r="D66" s="3">
        <v>3011230.46</v>
      </c>
      <c r="E66" s="3">
        <v>254641.8</v>
      </c>
      <c r="F66" s="4">
        <v>1866198.58</v>
      </c>
      <c r="G66" s="3">
        <v>12409297.07</v>
      </c>
      <c r="H66" s="4">
        <v>2359986.91</v>
      </c>
      <c r="I66" s="3">
        <v>5291660.01</v>
      </c>
      <c r="J66" s="3">
        <v>705560.64</v>
      </c>
      <c r="K66" s="4">
        <v>15573162.35</v>
      </c>
      <c r="L66" s="3">
        <v>274051.39</v>
      </c>
      <c r="M66" s="3">
        <v>336976.8</v>
      </c>
      <c r="N66" s="3">
        <v>12990.52</v>
      </c>
      <c r="O66" s="34">
        <v>1202833.97</v>
      </c>
      <c r="P66" s="34">
        <v>1308438.19</v>
      </c>
      <c r="Q66" s="34" t="s">
        <v>25</v>
      </c>
      <c r="R66" s="4">
        <v>1823783.28</v>
      </c>
      <c r="S66" s="3">
        <v>34394698.670000002</v>
      </c>
      <c r="T66" s="4">
        <v>1379433.93</v>
      </c>
      <c r="U66" s="4">
        <v>69457.59</v>
      </c>
      <c r="V66" s="4">
        <v>0</v>
      </c>
      <c r="W66" s="23">
        <v>-639.65</v>
      </c>
      <c r="X66" s="34"/>
      <c r="Y66" s="3">
        <v>82932810.659999996</v>
      </c>
    </row>
    <row r="67" spans="1:25" x14ac:dyDescent="0.3">
      <c r="A67" s="7">
        <v>26816</v>
      </c>
      <c r="B67" s="2">
        <f t="shared" si="1"/>
        <v>4900</v>
      </c>
      <c r="C67" s="3">
        <f>2098292.19+46326.98</f>
        <v>2144619.17</v>
      </c>
      <c r="D67" s="3">
        <v>6364240.2000000002</v>
      </c>
      <c r="E67" s="3">
        <v>221388.79</v>
      </c>
      <c r="F67" s="4">
        <v>1782259.27</v>
      </c>
      <c r="G67" s="3">
        <v>12811705.1</v>
      </c>
      <c r="H67" s="4">
        <v>2477204.9700000002</v>
      </c>
      <c r="I67" s="3">
        <v>5147256.47</v>
      </c>
      <c r="J67" s="3">
        <v>711784.89</v>
      </c>
      <c r="K67" s="4">
        <v>2147236.44</v>
      </c>
      <c r="L67" s="3">
        <v>229916</v>
      </c>
      <c r="M67" s="3">
        <v>346595.84000000003</v>
      </c>
      <c r="N67" s="3">
        <v>1675880.83</v>
      </c>
      <c r="O67" s="34">
        <v>1363902.53</v>
      </c>
      <c r="P67" s="34">
        <v>2360179.69</v>
      </c>
      <c r="Q67" s="34" t="s">
        <v>25</v>
      </c>
      <c r="R67" s="4">
        <v>1909329.94</v>
      </c>
      <c r="S67" s="3">
        <v>36035599.649999999</v>
      </c>
      <c r="T67" s="4">
        <v>1860402.43</v>
      </c>
      <c r="U67" s="4">
        <v>72753.990000000005</v>
      </c>
      <c r="V67" s="4">
        <v>0</v>
      </c>
      <c r="W67" s="23">
        <v>21.34</v>
      </c>
      <c r="X67" s="34"/>
      <c r="Y67" s="3">
        <v>79589523.549999997</v>
      </c>
    </row>
    <row r="68" spans="1:25" x14ac:dyDescent="0.3">
      <c r="A68" s="7">
        <v>26846</v>
      </c>
      <c r="B68" s="2">
        <f t="shared" si="1"/>
        <v>4930</v>
      </c>
      <c r="C68" s="3">
        <f>889618.59+26206.63</f>
        <v>915825.22</v>
      </c>
      <c r="D68" s="3">
        <v>8813921.5199999996</v>
      </c>
      <c r="E68" s="3">
        <v>76463.02</v>
      </c>
      <c r="F68" s="4">
        <v>2775682.45</v>
      </c>
      <c r="G68" s="3">
        <v>13559655.5</v>
      </c>
      <c r="H68" s="4">
        <v>2539843.6</v>
      </c>
      <c r="I68" s="3">
        <v>5268172.3</v>
      </c>
      <c r="J68" s="3">
        <v>673319.34</v>
      </c>
      <c r="K68" s="4">
        <v>1425123.24</v>
      </c>
      <c r="L68" s="3">
        <v>227486.16</v>
      </c>
      <c r="M68" s="3">
        <v>345634.82</v>
      </c>
      <c r="N68" s="3">
        <v>37107.49</v>
      </c>
      <c r="O68" s="34">
        <v>1515278.56</v>
      </c>
      <c r="P68" s="34">
        <v>3095309.09</v>
      </c>
      <c r="Q68" s="34" t="s">
        <v>25</v>
      </c>
      <c r="R68" s="4">
        <v>1640035.11</v>
      </c>
      <c r="S68" s="3">
        <v>37956305.520000003</v>
      </c>
      <c r="T68" s="4">
        <v>2018532.76</v>
      </c>
      <c r="U68" s="4">
        <v>72842.48</v>
      </c>
      <c r="V68" s="4">
        <v>0</v>
      </c>
      <c r="W68" s="23">
        <v>926.16</v>
      </c>
      <c r="X68" s="34"/>
      <c r="Y68" s="3">
        <v>82884621.859999999</v>
      </c>
    </row>
    <row r="69" spans="1:25" x14ac:dyDescent="0.3">
      <c r="A69" s="7">
        <v>26877</v>
      </c>
      <c r="B69" s="2">
        <f t="shared" si="1"/>
        <v>4961</v>
      </c>
      <c r="C69" s="3">
        <f>771385.5+21439.96</f>
        <v>792825.46</v>
      </c>
      <c r="D69" s="3">
        <v>3909502.26</v>
      </c>
      <c r="E69" s="3">
        <v>133998.79</v>
      </c>
      <c r="F69" s="4">
        <v>2375825.27</v>
      </c>
      <c r="G69" s="3">
        <v>13131099.27</v>
      </c>
      <c r="H69" s="4">
        <v>2525317.4</v>
      </c>
      <c r="I69" s="3">
        <v>5412988.46</v>
      </c>
      <c r="J69" s="3">
        <v>678861.71</v>
      </c>
      <c r="K69" s="4">
        <v>1606456.66</v>
      </c>
      <c r="L69" s="3">
        <v>231697.37</v>
      </c>
      <c r="M69" s="3">
        <v>322769.77</v>
      </c>
      <c r="N69" s="3">
        <v>12025.91</v>
      </c>
      <c r="O69" s="34">
        <v>1297391.93</v>
      </c>
      <c r="P69" s="34">
        <v>3415092.96</v>
      </c>
      <c r="Q69" s="34" t="s">
        <v>25</v>
      </c>
      <c r="R69" s="4">
        <v>1763393.1</v>
      </c>
      <c r="S69" s="3">
        <v>35969506.149999999</v>
      </c>
      <c r="T69" s="4">
        <v>1422710.42</v>
      </c>
      <c r="U69" s="4">
        <v>59408.93</v>
      </c>
      <c r="V69" s="4">
        <v>0</v>
      </c>
      <c r="W69" s="23">
        <v>1113.29</v>
      </c>
      <c r="X69" s="34"/>
      <c r="Y69" s="3">
        <v>75002576.180000007</v>
      </c>
    </row>
    <row r="70" spans="1:25" x14ac:dyDescent="0.3">
      <c r="A70" s="7">
        <v>26908</v>
      </c>
      <c r="B70" s="2">
        <f t="shared" si="1"/>
        <v>4992</v>
      </c>
      <c r="C70" s="3">
        <f>1486278.67+38214.38</f>
        <v>1524493.0499999998</v>
      </c>
      <c r="D70" s="3">
        <v>5551169.8200000003</v>
      </c>
      <c r="E70" s="3">
        <v>139699.62</v>
      </c>
      <c r="F70" s="4">
        <v>3338594.95</v>
      </c>
      <c r="G70" s="3">
        <v>14791753.42</v>
      </c>
      <c r="H70" s="4">
        <v>2516036.48</v>
      </c>
      <c r="I70" s="3">
        <v>4691849.57</v>
      </c>
      <c r="J70" s="3">
        <v>675395.45</v>
      </c>
      <c r="K70" s="4">
        <v>1489046.7</v>
      </c>
      <c r="L70" s="3">
        <v>188969.19</v>
      </c>
      <c r="M70" s="3">
        <v>373543.25</v>
      </c>
      <c r="N70" s="3">
        <v>12311.7</v>
      </c>
      <c r="O70" s="34">
        <v>1377655.79</v>
      </c>
      <c r="P70" s="34">
        <v>1423011.91</v>
      </c>
      <c r="Q70" s="34" t="s">
        <v>25</v>
      </c>
      <c r="R70" s="4">
        <v>1774108.01</v>
      </c>
      <c r="S70" s="3">
        <v>37837460.630000003</v>
      </c>
      <c r="T70" s="4">
        <v>1882020.56</v>
      </c>
      <c r="U70" s="4">
        <v>67054.45</v>
      </c>
      <c r="V70" s="4">
        <v>0</v>
      </c>
      <c r="W70" s="23">
        <v>1322.12</v>
      </c>
      <c r="X70" s="34"/>
      <c r="Y70" s="3">
        <v>79588442.219999999</v>
      </c>
    </row>
    <row r="71" spans="1:25" x14ac:dyDescent="0.3">
      <c r="A71" s="7">
        <v>26938</v>
      </c>
      <c r="B71" s="2">
        <f t="shared" si="1"/>
        <v>5022</v>
      </c>
      <c r="C71" s="3">
        <f>1806608.19+36825.79</f>
        <v>1843433.98</v>
      </c>
      <c r="D71" s="3">
        <v>11197492.32</v>
      </c>
      <c r="E71" s="3">
        <v>135206.76999999999</v>
      </c>
      <c r="F71" s="4">
        <v>3827555.16</v>
      </c>
      <c r="G71" s="3">
        <v>12319814.98</v>
      </c>
      <c r="H71" s="4">
        <v>2360296.44</v>
      </c>
      <c r="I71" s="3">
        <v>5201795.49</v>
      </c>
      <c r="J71" s="3">
        <v>705433.49</v>
      </c>
      <c r="K71" s="4">
        <v>1043740.3</v>
      </c>
      <c r="L71" s="3">
        <v>235397.55</v>
      </c>
      <c r="M71" s="3">
        <v>361085.04</v>
      </c>
      <c r="N71" s="3">
        <v>3247.71</v>
      </c>
      <c r="O71" s="34">
        <v>1280428.03</v>
      </c>
      <c r="P71" s="34">
        <v>1778975.17</v>
      </c>
      <c r="Q71" s="34" t="s">
        <v>25</v>
      </c>
      <c r="R71" s="4">
        <v>1603296.38</v>
      </c>
      <c r="S71" s="3">
        <v>36551340.909999996</v>
      </c>
      <c r="T71" s="4">
        <v>1716954.05</v>
      </c>
      <c r="U71" s="4">
        <v>77111</v>
      </c>
      <c r="V71" s="4">
        <v>0</v>
      </c>
      <c r="W71" s="23">
        <v>2552.13</v>
      </c>
      <c r="X71" s="34"/>
      <c r="Y71" s="3">
        <v>82168045.900000006</v>
      </c>
    </row>
    <row r="72" spans="1:25" x14ac:dyDescent="0.3">
      <c r="A72" s="7">
        <v>26969</v>
      </c>
      <c r="B72" s="2">
        <f t="shared" si="1"/>
        <v>5053</v>
      </c>
      <c r="C72" s="3">
        <f>742769.95+18955.01</f>
        <v>761724.96</v>
      </c>
      <c r="D72" s="3">
        <v>3440995.45</v>
      </c>
      <c r="E72" s="3">
        <v>63406.18</v>
      </c>
      <c r="F72" s="4">
        <v>1941673.1</v>
      </c>
      <c r="G72" s="3">
        <v>14463465.029999999</v>
      </c>
      <c r="H72" s="4">
        <v>3026115.02</v>
      </c>
      <c r="I72" s="3">
        <v>4915080.1100000003</v>
      </c>
      <c r="J72" s="3">
        <v>623326.24</v>
      </c>
      <c r="K72" s="4">
        <v>1299844.71</v>
      </c>
      <c r="L72" s="3">
        <v>195339.4</v>
      </c>
      <c r="M72" s="3">
        <v>381472</v>
      </c>
      <c r="N72" s="3">
        <v>1712.03</v>
      </c>
      <c r="O72" s="34">
        <v>1232222.3600000001</v>
      </c>
      <c r="P72" s="34">
        <v>2548673.88</v>
      </c>
      <c r="Q72" s="34" t="s">
        <v>25</v>
      </c>
      <c r="R72" s="4">
        <v>2005485.07</v>
      </c>
      <c r="S72" s="3">
        <v>36494088.369999997</v>
      </c>
      <c r="T72" s="4">
        <v>1833860.28</v>
      </c>
      <c r="U72" s="4">
        <v>73303.149999999994</v>
      </c>
      <c r="V72" s="4">
        <v>0</v>
      </c>
      <c r="W72" s="23">
        <v>1649.64</v>
      </c>
      <c r="X72" s="34"/>
      <c r="Y72" s="3">
        <v>75230133.829999998</v>
      </c>
    </row>
    <row r="73" spans="1:25" x14ac:dyDescent="0.3">
      <c r="A73" s="7">
        <v>26999</v>
      </c>
      <c r="B73" s="2">
        <f t="shared" si="1"/>
        <v>5083</v>
      </c>
      <c r="C73" s="3">
        <f>1183241.89+32891.2</f>
        <v>1216133.0899999999</v>
      </c>
      <c r="D73" s="3">
        <v>5814021.96</v>
      </c>
      <c r="E73" s="3">
        <v>546159.12</v>
      </c>
      <c r="F73" s="4">
        <v>2068224.53</v>
      </c>
      <c r="G73" s="3">
        <v>13608597.960000001</v>
      </c>
      <c r="H73" s="4">
        <v>2832656.14</v>
      </c>
      <c r="I73" s="3">
        <v>4932313.28</v>
      </c>
      <c r="J73" s="3">
        <v>662381.57999999996</v>
      </c>
      <c r="K73" s="4">
        <v>956909.38</v>
      </c>
      <c r="L73" s="3">
        <v>168201.95</v>
      </c>
      <c r="M73" s="3">
        <v>372319.57</v>
      </c>
      <c r="N73" s="3">
        <v>1135.27</v>
      </c>
      <c r="O73" s="34">
        <v>1167550.95</v>
      </c>
      <c r="P73" s="34">
        <v>1350580.54</v>
      </c>
      <c r="Q73" s="34" t="s">
        <v>25</v>
      </c>
      <c r="R73" s="4">
        <v>2419051.44</v>
      </c>
      <c r="S73" s="3">
        <v>37014700.600000001</v>
      </c>
      <c r="T73" s="4">
        <v>1963678.02</v>
      </c>
      <c r="U73" s="4">
        <v>62451.73</v>
      </c>
      <c r="V73" s="4">
        <v>0</v>
      </c>
      <c r="W73" s="23">
        <v>1332.66</v>
      </c>
      <c r="X73" s="34"/>
      <c r="Y73" s="3">
        <v>77095948.040000007</v>
      </c>
    </row>
    <row r="74" spans="1:25" x14ac:dyDescent="0.3">
      <c r="A74" s="7">
        <v>27030</v>
      </c>
      <c r="B74" s="2">
        <f t="shared" si="1"/>
        <v>5114</v>
      </c>
      <c r="C74" s="3">
        <f>841982.47+24643.29</f>
        <v>866625.76</v>
      </c>
      <c r="D74" s="3">
        <v>9446304.9900000002</v>
      </c>
      <c r="E74" s="3">
        <v>441776.52</v>
      </c>
      <c r="F74" s="4">
        <v>2304481.65</v>
      </c>
      <c r="G74" s="3">
        <v>12589221.26</v>
      </c>
      <c r="H74" s="4">
        <v>2585592.37</v>
      </c>
      <c r="I74" s="3">
        <v>5305108.97</v>
      </c>
      <c r="J74" s="3">
        <v>571150.9</v>
      </c>
      <c r="K74" s="4">
        <v>558337.61</v>
      </c>
      <c r="L74" s="3">
        <v>183005.21</v>
      </c>
      <c r="M74" s="3">
        <v>419265.74</v>
      </c>
      <c r="N74" s="3">
        <v>18575.16</v>
      </c>
      <c r="O74" s="34">
        <v>1051956.02</v>
      </c>
      <c r="P74" s="34">
        <v>1697844.53</v>
      </c>
      <c r="Q74" s="34" t="s">
        <v>25</v>
      </c>
      <c r="R74" s="4">
        <v>2783724.02</v>
      </c>
      <c r="S74" s="3">
        <v>41288719.859999999</v>
      </c>
      <c r="T74" s="4">
        <v>2053352.41</v>
      </c>
      <c r="U74" s="4">
        <v>62097.43</v>
      </c>
      <c r="V74" s="4">
        <v>0</v>
      </c>
      <c r="W74" s="23">
        <v>2845.7</v>
      </c>
      <c r="X74" s="34"/>
      <c r="Y74" s="3">
        <v>84167888.680000007</v>
      </c>
    </row>
    <row r="75" spans="1:25" x14ac:dyDescent="0.3">
      <c r="A75" s="7">
        <v>27061</v>
      </c>
      <c r="B75" s="2">
        <f t="shared" si="1"/>
        <v>5145</v>
      </c>
      <c r="C75" s="3">
        <f>1066700.8+20579.6</f>
        <v>1087280.4000000001</v>
      </c>
      <c r="D75" s="3">
        <v>3982286.84</v>
      </c>
      <c r="E75" s="3">
        <v>897257.61</v>
      </c>
      <c r="F75" s="4">
        <v>1657848.38</v>
      </c>
      <c r="G75" s="3">
        <v>10946652.48</v>
      </c>
      <c r="H75" s="4">
        <v>2144885.4900000002</v>
      </c>
      <c r="I75" s="3">
        <v>4496391.91</v>
      </c>
      <c r="J75" s="3">
        <v>638781.87</v>
      </c>
      <c r="K75" s="4">
        <v>411258.53</v>
      </c>
      <c r="L75" s="3">
        <v>157615.95000000001</v>
      </c>
      <c r="M75" s="3">
        <v>373429.33</v>
      </c>
      <c r="N75" s="3">
        <v>62902.76</v>
      </c>
      <c r="O75" s="34">
        <v>1094078.8799999999</v>
      </c>
      <c r="P75" s="34">
        <v>2417153.98</v>
      </c>
      <c r="Q75" s="34" t="s">
        <v>25</v>
      </c>
      <c r="R75" s="4">
        <v>1718176.58</v>
      </c>
      <c r="S75" s="3">
        <v>34282916.670000002</v>
      </c>
      <c r="T75" s="4">
        <v>1494801.81</v>
      </c>
      <c r="U75" s="4">
        <v>60067.58</v>
      </c>
      <c r="V75" s="4">
        <v>0</v>
      </c>
      <c r="W75" s="23">
        <v>2577.62</v>
      </c>
      <c r="X75" s="34"/>
      <c r="Y75" s="3">
        <v>67866297.090000004</v>
      </c>
    </row>
    <row r="76" spans="1:25" x14ac:dyDescent="0.3">
      <c r="A76" s="7">
        <v>27089</v>
      </c>
      <c r="B76" s="2">
        <f t="shared" si="1"/>
        <v>5173</v>
      </c>
      <c r="C76" s="3">
        <f>5840696.99+101270.23</f>
        <v>5941967.2200000007</v>
      </c>
      <c r="D76" s="3">
        <v>17918898.859999999</v>
      </c>
      <c r="E76" s="3">
        <v>1849203.61</v>
      </c>
      <c r="F76" s="4">
        <v>2513488.46</v>
      </c>
      <c r="G76" s="3">
        <v>9041483.9100000001</v>
      </c>
      <c r="H76" s="4">
        <v>2008955.85</v>
      </c>
      <c r="I76" s="3">
        <v>4733034.6900000004</v>
      </c>
      <c r="J76" s="3">
        <v>561611.92000000004</v>
      </c>
      <c r="K76" s="4">
        <v>11274952.76</v>
      </c>
      <c r="L76" s="3">
        <v>314990.25</v>
      </c>
      <c r="M76" s="3">
        <v>341782.59</v>
      </c>
      <c r="N76" s="3">
        <v>91914.97</v>
      </c>
      <c r="O76" s="34">
        <v>951758.83</v>
      </c>
      <c r="P76" s="34">
        <v>1367593.7</v>
      </c>
      <c r="Q76" s="34" t="s">
        <v>25</v>
      </c>
      <c r="R76" s="4">
        <v>1726575.23</v>
      </c>
      <c r="S76" s="3">
        <v>32912283.73</v>
      </c>
      <c r="T76" s="4">
        <v>1632652.7</v>
      </c>
      <c r="U76" s="4">
        <v>63227.92</v>
      </c>
      <c r="V76" s="4">
        <v>0</v>
      </c>
      <c r="W76" s="23">
        <v>2392.48</v>
      </c>
      <c r="X76" s="34"/>
      <c r="Y76" s="3">
        <v>95185541.760000005</v>
      </c>
    </row>
    <row r="77" spans="1:25" x14ac:dyDescent="0.3">
      <c r="A77" s="7">
        <v>27120</v>
      </c>
      <c r="B77" s="2">
        <f t="shared" si="1"/>
        <v>5204</v>
      </c>
      <c r="C77" s="3">
        <f>9375155.97+106654.74</f>
        <v>9481810.7100000009</v>
      </c>
      <c r="D77" s="3">
        <v>33306731.780000001</v>
      </c>
      <c r="E77" s="3">
        <v>11663020.880000001</v>
      </c>
      <c r="F77" s="4">
        <v>2901445.39</v>
      </c>
      <c r="G77" s="3">
        <v>12335858.970000001</v>
      </c>
      <c r="H77" s="4">
        <v>2343379.31</v>
      </c>
      <c r="I77" s="3">
        <v>5528830.0700000003</v>
      </c>
      <c r="J77" s="3">
        <v>640615.42000000004</v>
      </c>
      <c r="K77" s="4">
        <v>28733308.300000001</v>
      </c>
      <c r="L77" s="3">
        <v>420997.15</v>
      </c>
      <c r="M77" s="3">
        <v>453655.09</v>
      </c>
      <c r="N77" s="3">
        <v>47820.42</v>
      </c>
      <c r="O77" s="34">
        <v>1226716.3999999999</v>
      </c>
      <c r="P77" s="34">
        <v>1584589.96</v>
      </c>
      <c r="Q77" s="34" t="s">
        <v>25</v>
      </c>
      <c r="R77" s="4">
        <v>1797789.32</v>
      </c>
      <c r="S77" s="3">
        <v>37934920.520000003</v>
      </c>
      <c r="T77" s="4">
        <v>2209089.39</v>
      </c>
      <c r="U77" s="4">
        <v>65024.17</v>
      </c>
      <c r="V77" s="4">
        <v>0</v>
      </c>
      <c r="W77" s="23">
        <v>1565.86</v>
      </c>
      <c r="X77" s="34"/>
      <c r="Y77" s="3">
        <v>152612144.94</v>
      </c>
    </row>
    <row r="78" spans="1:25" x14ac:dyDescent="0.3">
      <c r="A78" s="7">
        <v>27150</v>
      </c>
      <c r="B78" s="2">
        <f t="shared" si="1"/>
        <v>5234</v>
      </c>
      <c r="C78" s="3">
        <f>989171.31+23466.7</f>
        <v>1012638.01</v>
      </c>
      <c r="D78" s="3">
        <v>3153570.73</v>
      </c>
      <c r="E78" s="3">
        <v>193740.46</v>
      </c>
      <c r="F78" s="4">
        <v>2558906.7799999998</v>
      </c>
      <c r="G78" s="3">
        <v>10834953.880000001</v>
      </c>
      <c r="H78" s="4">
        <v>2128581.65</v>
      </c>
      <c r="I78" s="3">
        <v>5620536.0199999996</v>
      </c>
      <c r="J78" s="3">
        <v>739458.48</v>
      </c>
      <c r="K78" s="4">
        <v>20028833.510000002</v>
      </c>
      <c r="L78" s="3">
        <v>252586.31</v>
      </c>
      <c r="M78" s="3">
        <v>399589.47</v>
      </c>
      <c r="N78" s="3">
        <v>23547.16</v>
      </c>
      <c r="O78" s="34">
        <v>1359760.56</v>
      </c>
      <c r="P78" s="34">
        <v>2479585.8199999998</v>
      </c>
      <c r="Q78" s="34" t="s">
        <v>25</v>
      </c>
      <c r="R78" s="4">
        <v>2005699.53</v>
      </c>
      <c r="S78" s="3">
        <v>38911413.030000001</v>
      </c>
      <c r="T78" s="4">
        <v>1709302.29</v>
      </c>
      <c r="U78" s="4">
        <v>75184.649999999994</v>
      </c>
      <c r="V78" s="4">
        <v>0</v>
      </c>
      <c r="W78" s="23">
        <v>1812.04</v>
      </c>
      <c r="X78" s="34"/>
      <c r="Y78" s="3">
        <v>93414515.730000004</v>
      </c>
    </row>
    <row r="79" spans="1:25" x14ac:dyDescent="0.3">
      <c r="A79" s="7">
        <v>27181</v>
      </c>
      <c r="B79" s="2">
        <f t="shared" si="1"/>
        <v>5265</v>
      </c>
      <c r="C79" s="3">
        <f>2322164.6+49106.43</f>
        <v>2371271.0300000003</v>
      </c>
      <c r="D79" s="3">
        <v>6439411.5999999996</v>
      </c>
      <c r="E79" s="3">
        <v>324366.43</v>
      </c>
      <c r="F79" s="4">
        <v>1347035.33</v>
      </c>
      <c r="G79" s="3">
        <v>15225458.140000001</v>
      </c>
      <c r="H79" s="4">
        <v>2714532.27</v>
      </c>
      <c r="I79" s="3">
        <v>5141668.29</v>
      </c>
      <c r="J79" s="3">
        <v>859567.15</v>
      </c>
      <c r="K79" s="4">
        <v>4674972.3600000003</v>
      </c>
      <c r="L79" s="3">
        <v>220269.63</v>
      </c>
      <c r="M79" s="3">
        <v>457806.09</v>
      </c>
      <c r="N79" s="3">
        <v>2105299.7999999998</v>
      </c>
      <c r="O79" s="34">
        <v>1481104.56</v>
      </c>
      <c r="P79" s="34">
        <v>3751476.32</v>
      </c>
      <c r="Q79" s="34" t="s">
        <v>25</v>
      </c>
      <c r="R79" s="4">
        <v>1883479.88</v>
      </c>
      <c r="S79" s="3">
        <v>40134846.890000001</v>
      </c>
      <c r="T79" s="4">
        <v>1714488.18</v>
      </c>
      <c r="U79" s="4">
        <v>73452.33</v>
      </c>
      <c r="V79" s="4">
        <v>0</v>
      </c>
      <c r="W79" s="23">
        <v>2434.77</v>
      </c>
      <c r="X79" s="34"/>
      <c r="Y79" s="3">
        <v>90849488.719999999</v>
      </c>
    </row>
    <row r="80" spans="1:25" x14ac:dyDescent="0.3">
      <c r="A80" s="7">
        <v>27211</v>
      </c>
      <c r="B80" s="2">
        <f t="shared" si="1"/>
        <v>5295</v>
      </c>
      <c r="C80" s="3">
        <f>1130831.52+30902.72</f>
        <v>1161734.24</v>
      </c>
      <c r="D80" s="3">
        <v>13090015.619999999</v>
      </c>
      <c r="E80" s="10">
        <v>112359.09</v>
      </c>
      <c r="F80" s="9">
        <v>2102902.4500000002</v>
      </c>
      <c r="G80" s="8">
        <v>12971191.359999999</v>
      </c>
      <c r="H80" s="9">
        <v>2321059.06</v>
      </c>
      <c r="I80" s="8">
        <v>5646971.9000000004</v>
      </c>
      <c r="J80" s="8">
        <v>803034.9</v>
      </c>
      <c r="K80" s="9">
        <v>1649084.23</v>
      </c>
      <c r="L80" s="8">
        <v>222197.14</v>
      </c>
      <c r="M80" s="8">
        <v>424950.8</v>
      </c>
      <c r="N80" s="8">
        <v>69334.27</v>
      </c>
      <c r="O80" s="34">
        <v>1361583.07</v>
      </c>
      <c r="P80" s="34">
        <v>3134318.25</v>
      </c>
      <c r="Q80" s="34" t="s">
        <v>25</v>
      </c>
      <c r="R80" s="9">
        <v>1688603.15</v>
      </c>
      <c r="S80" s="3">
        <v>40638551.630000003</v>
      </c>
      <c r="T80" s="9">
        <v>2158369.5699999998</v>
      </c>
      <c r="U80" s="4">
        <v>66115.42</v>
      </c>
      <c r="V80" s="4">
        <v>0</v>
      </c>
      <c r="W80" s="24">
        <v>1153.27</v>
      </c>
      <c r="X80" s="34"/>
      <c r="Y80" s="8">
        <v>89557414</v>
      </c>
    </row>
    <row r="81" spans="1:25" x14ac:dyDescent="0.3">
      <c r="A81" s="7">
        <v>27242</v>
      </c>
      <c r="B81" s="2">
        <f t="shared" si="1"/>
        <v>5326</v>
      </c>
      <c r="C81" s="3">
        <f>712017.6+22627.15</f>
        <v>734644.75</v>
      </c>
      <c r="D81" s="3">
        <v>4002815.71</v>
      </c>
      <c r="E81" s="3">
        <v>174327.07</v>
      </c>
      <c r="F81" s="4">
        <v>1595323.94</v>
      </c>
      <c r="G81" s="3">
        <v>13025192.869999999</v>
      </c>
      <c r="H81" s="4">
        <v>2438895</v>
      </c>
      <c r="I81" s="3">
        <v>5374499.6100000003</v>
      </c>
      <c r="J81" s="3">
        <v>742185.81</v>
      </c>
      <c r="K81" s="4">
        <v>1563840.88</v>
      </c>
      <c r="L81" s="3">
        <v>218868.28</v>
      </c>
      <c r="M81" s="3">
        <v>420116.53</v>
      </c>
      <c r="N81" s="3">
        <v>45389.440000000002</v>
      </c>
      <c r="O81" s="34">
        <v>1329171.33</v>
      </c>
      <c r="P81" s="34">
        <v>4176607.74</v>
      </c>
      <c r="Q81" s="34" t="s">
        <v>25</v>
      </c>
      <c r="R81" s="4">
        <v>2025197.28</v>
      </c>
      <c r="S81" s="3">
        <v>40652947.57</v>
      </c>
      <c r="T81" s="4">
        <v>1778978.9</v>
      </c>
      <c r="U81" s="4">
        <v>118416.59</v>
      </c>
      <c r="V81" s="4">
        <v>0</v>
      </c>
      <c r="W81" s="23">
        <v>1652.51</v>
      </c>
      <c r="X81" s="34"/>
      <c r="Y81" s="3">
        <v>80300655.219999999</v>
      </c>
    </row>
    <row r="82" spans="1:25" x14ac:dyDescent="0.3">
      <c r="A82" s="7">
        <v>27273</v>
      </c>
      <c r="B82" s="2">
        <f t="shared" si="1"/>
        <v>5357</v>
      </c>
      <c r="C82" s="3">
        <f>2136592.27+42528.22</f>
        <v>2179120.4900000002</v>
      </c>
      <c r="D82" s="3">
        <v>6624996.8099999996</v>
      </c>
      <c r="E82" s="3">
        <v>129728.96000000001</v>
      </c>
      <c r="F82" s="4">
        <v>2420408.58</v>
      </c>
      <c r="G82" s="3">
        <v>12744099.25</v>
      </c>
      <c r="H82" s="4">
        <v>2368655.85</v>
      </c>
      <c r="I82" s="3">
        <v>5147759.26</v>
      </c>
      <c r="J82" s="3">
        <v>668746.27</v>
      </c>
      <c r="K82" s="4">
        <v>1585837.35</v>
      </c>
      <c r="L82" s="3">
        <v>196681.48</v>
      </c>
      <c r="M82" s="3">
        <v>454673.15</v>
      </c>
      <c r="N82" s="3">
        <v>48995.85</v>
      </c>
      <c r="O82" s="34">
        <v>1321498.01</v>
      </c>
      <c r="P82" s="34">
        <v>1635040.46</v>
      </c>
      <c r="Q82" s="34" t="s">
        <v>25</v>
      </c>
      <c r="R82" s="4">
        <v>1721198.33</v>
      </c>
      <c r="S82" s="3">
        <v>41997510.369999997</v>
      </c>
      <c r="T82" s="4">
        <v>1493964.39</v>
      </c>
      <c r="U82" s="4">
        <v>136017.31</v>
      </c>
      <c r="V82" s="4">
        <v>0</v>
      </c>
      <c r="W82" s="23">
        <v>2432.0700000000002</v>
      </c>
      <c r="X82" s="34"/>
      <c r="Y82" s="3">
        <v>82741346.930000007</v>
      </c>
    </row>
    <row r="83" spans="1:25" x14ac:dyDescent="0.3">
      <c r="A83" s="7">
        <v>27303</v>
      </c>
      <c r="B83" s="2">
        <f t="shared" si="1"/>
        <v>5387</v>
      </c>
      <c r="C83" s="3">
        <f>2010218.01+30262.01</f>
        <v>2040480.02</v>
      </c>
      <c r="D83" s="3">
        <v>15609699.07</v>
      </c>
      <c r="E83" s="3">
        <v>167848.02</v>
      </c>
      <c r="F83" s="4">
        <v>2287613.73</v>
      </c>
      <c r="G83" s="3">
        <v>13751545.640000001</v>
      </c>
      <c r="H83" s="4">
        <v>2670632.7599999998</v>
      </c>
      <c r="I83" s="3">
        <v>5276007.8099999996</v>
      </c>
      <c r="J83" s="3">
        <v>680270.89</v>
      </c>
      <c r="K83" s="4">
        <v>1001563.24</v>
      </c>
      <c r="L83" s="3">
        <v>208249.57</v>
      </c>
      <c r="M83" s="3">
        <v>408381.4</v>
      </c>
      <c r="N83" s="3">
        <v>9644.0400000000009</v>
      </c>
      <c r="O83" s="34">
        <v>1146209.51</v>
      </c>
      <c r="P83" s="34">
        <v>1779956.02</v>
      </c>
      <c r="Q83" s="34" t="s">
        <v>25</v>
      </c>
      <c r="R83" s="4">
        <v>1789739.11</v>
      </c>
      <c r="S83" s="3">
        <v>39110066.310000002</v>
      </c>
      <c r="T83" s="4">
        <v>2308603.13</v>
      </c>
      <c r="U83" s="4">
        <v>138101.84</v>
      </c>
      <c r="V83" s="4">
        <v>0</v>
      </c>
      <c r="W83" s="23">
        <v>2009.57</v>
      </c>
      <c r="X83" s="34"/>
      <c r="Y83" s="3">
        <v>90248519.840000004</v>
      </c>
    </row>
    <row r="84" spans="1:25" x14ac:dyDescent="0.3">
      <c r="A84" s="7">
        <v>27334</v>
      </c>
      <c r="B84" s="2">
        <f t="shared" si="1"/>
        <v>5418</v>
      </c>
      <c r="C84" s="3">
        <f>418827.48+19134.1</f>
        <v>437961.57999999996</v>
      </c>
      <c r="D84" s="3">
        <v>4195765.24</v>
      </c>
      <c r="E84" s="3">
        <v>82295.78</v>
      </c>
      <c r="F84" s="4">
        <v>2685830.73</v>
      </c>
      <c r="G84" s="3">
        <v>13003826.51</v>
      </c>
      <c r="H84" s="4">
        <v>2671575.2999999998</v>
      </c>
      <c r="I84" s="3">
        <v>4963158.7300000004</v>
      </c>
      <c r="J84" s="3">
        <v>678745.02</v>
      </c>
      <c r="K84" s="4">
        <v>1003979.7</v>
      </c>
      <c r="L84" s="3">
        <v>175683.32</v>
      </c>
      <c r="M84" s="3">
        <v>455603.22</v>
      </c>
      <c r="N84" s="3">
        <v>8542.58</v>
      </c>
      <c r="O84" s="34">
        <v>1088364.3799999999</v>
      </c>
      <c r="P84" s="34">
        <v>3071879.67</v>
      </c>
      <c r="Q84" s="34" t="s">
        <v>25</v>
      </c>
      <c r="R84" s="4">
        <v>2090009.66</v>
      </c>
      <c r="S84" s="3">
        <v>39422899.729999997</v>
      </c>
      <c r="T84" s="4">
        <v>1318652.4099999999</v>
      </c>
      <c r="U84" s="4">
        <v>147040.41</v>
      </c>
      <c r="V84" s="4">
        <v>0</v>
      </c>
      <c r="W84" s="23">
        <v>1960.96</v>
      </c>
      <c r="X84" s="34"/>
      <c r="Y84" s="3">
        <v>77356734.519999996</v>
      </c>
    </row>
    <row r="85" spans="1:25" x14ac:dyDescent="0.3">
      <c r="A85" s="7">
        <v>27364</v>
      </c>
      <c r="B85" s="2">
        <f t="shared" si="1"/>
        <v>5448</v>
      </c>
      <c r="C85" s="3">
        <f>1033270.96+29876.46</f>
        <v>1063147.42</v>
      </c>
      <c r="D85" s="3">
        <v>5301162.46</v>
      </c>
      <c r="E85" s="3">
        <v>574868.09</v>
      </c>
      <c r="F85" s="4">
        <v>1714134.69</v>
      </c>
      <c r="G85" s="3">
        <v>13402279.779999999</v>
      </c>
      <c r="H85" s="4">
        <v>2713217.62</v>
      </c>
      <c r="I85" s="3">
        <v>4913162.26</v>
      </c>
      <c r="J85" s="3">
        <v>645840.57999999996</v>
      </c>
      <c r="K85" s="4">
        <v>1001209.83</v>
      </c>
      <c r="L85" s="3">
        <v>140007.57</v>
      </c>
      <c r="M85" s="3">
        <v>460233.7</v>
      </c>
      <c r="N85" s="3">
        <v>8197.31</v>
      </c>
      <c r="O85" s="34">
        <v>940337.47</v>
      </c>
      <c r="P85" s="34">
        <v>1969569.67</v>
      </c>
      <c r="Q85" s="34" t="s">
        <v>25</v>
      </c>
      <c r="R85" s="4">
        <v>2392412.94</v>
      </c>
      <c r="S85" s="3">
        <v>39402868.759999998</v>
      </c>
      <c r="T85" s="4">
        <v>1402319.99</v>
      </c>
      <c r="U85" s="4">
        <v>124761.97</v>
      </c>
      <c r="V85" s="4">
        <v>0</v>
      </c>
      <c r="W85" s="23">
        <v>2829.35</v>
      </c>
      <c r="X85" s="34"/>
      <c r="Y85" s="3">
        <v>78047799.489999995</v>
      </c>
    </row>
    <row r="86" spans="1:25" x14ac:dyDescent="0.3">
      <c r="A86" s="7">
        <v>27395</v>
      </c>
      <c r="B86" s="2">
        <f t="shared" si="1"/>
        <v>5479</v>
      </c>
      <c r="C86" s="3">
        <f>1658044.87+30377.54</f>
        <v>1688422.4100000001</v>
      </c>
      <c r="D86" s="3">
        <v>13584096.93</v>
      </c>
      <c r="E86" s="3">
        <v>603864.47</v>
      </c>
      <c r="F86" s="4">
        <v>2728210.38</v>
      </c>
      <c r="G86" s="3">
        <v>12046926.33</v>
      </c>
      <c r="H86" s="4">
        <v>2417334.83</v>
      </c>
      <c r="I86" s="3">
        <v>5259380.46</v>
      </c>
      <c r="J86" s="3">
        <v>530274.1</v>
      </c>
      <c r="K86" s="4">
        <v>563878.43000000005</v>
      </c>
      <c r="L86" s="3">
        <v>169199.94</v>
      </c>
      <c r="M86" s="3">
        <v>525112.73</v>
      </c>
      <c r="N86" s="3">
        <v>37471.4</v>
      </c>
      <c r="O86" s="34">
        <v>970432.19</v>
      </c>
      <c r="P86" s="34">
        <v>2240569.7999999998</v>
      </c>
      <c r="Q86" s="34" t="s">
        <v>25</v>
      </c>
      <c r="R86" s="4">
        <v>2940959.51</v>
      </c>
      <c r="S86" s="3">
        <v>42870670.469999999</v>
      </c>
      <c r="T86" s="4">
        <v>2087580.25</v>
      </c>
      <c r="U86" s="4">
        <v>115675.9</v>
      </c>
      <c r="V86" s="4">
        <v>0</v>
      </c>
      <c r="W86" s="23">
        <v>3378.27</v>
      </c>
      <c r="X86" s="34"/>
      <c r="Y86" s="3">
        <v>91267762.900000006</v>
      </c>
    </row>
    <row r="87" spans="1:25" x14ac:dyDescent="0.3">
      <c r="A87" s="7">
        <v>27426</v>
      </c>
      <c r="B87" s="2">
        <f t="shared" si="1"/>
        <v>5510</v>
      </c>
      <c r="C87" s="3">
        <f>1224185.98+23675.97</f>
        <v>1247861.95</v>
      </c>
      <c r="D87" s="3">
        <v>4890664.2</v>
      </c>
      <c r="E87" s="3">
        <v>997504.3</v>
      </c>
      <c r="F87" s="4">
        <v>2325743.81</v>
      </c>
      <c r="G87" s="3">
        <v>12803323.6</v>
      </c>
      <c r="H87" s="4">
        <v>2553491.1800000002</v>
      </c>
      <c r="I87" s="3">
        <v>4846352.96</v>
      </c>
      <c r="J87" s="3">
        <v>651200.66</v>
      </c>
      <c r="K87" s="4">
        <v>435606.87</v>
      </c>
      <c r="L87" s="3">
        <v>143808</v>
      </c>
      <c r="M87" s="3">
        <v>434591.95</v>
      </c>
      <c r="N87" s="3">
        <v>128888.79</v>
      </c>
      <c r="O87" s="34">
        <v>940478.51</v>
      </c>
      <c r="P87" s="34">
        <v>4284020.9000000004</v>
      </c>
      <c r="Q87" s="34" t="s">
        <v>25</v>
      </c>
      <c r="R87" s="4">
        <v>1806959.72</v>
      </c>
      <c r="S87" s="3">
        <v>36112909.549999997</v>
      </c>
      <c r="T87" s="4">
        <v>1002175.81</v>
      </c>
      <c r="U87" s="4">
        <v>133068.19</v>
      </c>
      <c r="V87" s="4">
        <v>0</v>
      </c>
      <c r="W87" s="23">
        <v>2138.44</v>
      </c>
      <c r="X87" s="34"/>
      <c r="Y87" s="3">
        <v>75607721.200000003</v>
      </c>
    </row>
    <row r="88" spans="1:25" x14ac:dyDescent="0.3">
      <c r="A88" s="7">
        <v>27454</v>
      </c>
      <c r="B88" s="2">
        <f t="shared" si="1"/>
        <v>5538</v>
      </c>
      <c r="C88" s="3">
        <f>8114370.88+116880.63</f>
        <v>8231251.5099999998</v>
      </c>
      <c r="D88" s="3">
        <v>18951721.940000001</v>
      </c>
      <c r="E88" s="3">
        <v>2199793.5499999998</v>
      </c>
      <c r="F88" s="4">
        <v>2866893.99</v>
      </c>
      <c r="G88" s="3">
        <v>10740757.699999999</v>
      </c>
      <c r="H88" s="4">
        <v>2274911.75</v>
      </c>
      <c r="I88" s="3">
        <v>4637062.3499999996</v>
      </c>
      <c r="J88" s="3">
        <v>618181.41</v>
      </c>
      <c r="K88" s="4">
        <v>11670368.859999999</v>
      </c>
      <c r="L88" s="3">
        <v>295858.19</v>
      </c>
      <c r="M88" s="3">
        <v>443500.08</v>
      </c>
      <c r="N88" s="3">
        <v>172644.2</v>
      </c>
      <c r="O88" s="34">
        <v>860189.95</v>
      </c>
      <c r="P88" s="34">
        <v>1571009.44</v>
      </c>
      <c r="Q88" s="34" t="s">
        <v>25</v>
      </c>
      <c r="R88" s="4">
        <v>1782982.02</v>
      </c>
      <c r="S88" s="3">
        <v>34847141.859999999</v>
      </c>
      <c r="T88" s="4">
        <v>1553959.17</v>
      </c>
      <c r="U88" s="4">
        <v>128139.43</v>
      </c>
      <c r="V88" s="4">
        <v>0</v>
      </c>
      <c r="W88" s="23">
        <v>2498.71</v>
      </c>
      <c r="X88" s="34"/>
      <c r="Y88" s="3">
        <v>103720726.68000001</v>
      </c>
    </row>
    <row r="89" spans="1:25" x14ac:dyDescent="0.3">
      <c r="A89" s="7">
        <v>27485</v>
      </c>
      <c r="B89" s="2">
        <f t="shared" si="1"/>
        <v>5569</v>
      </c>
      <c r="C89" s="3">
        <f>8064031.94+81190.72</f>
        <v>8145222.6600000001</v>
      </c>
      <c r="D89" s="3">
        <v>26836913.359999999</v>
      </c>
      <c r="E89" s="3">
        <v>12826211.76</v>
      </c>
      <c r="F89" s="4">
        <v>2776917.08</v>
      </c>
      <c r="G89" s="3">
        <v>11640486.73</v>
      </c>
      <c r="H89" s="4">
        <v>2295739.73</v>
      </c>
      <c r="I89" s="3">
        <v>5705569.1299999999</v>
      </c>
      <c r="J89" s="3">
        <v>661321.56999999995</v>
      </c>
      <c r="K89" s="4">
        <v>28693629.710000001</v>
      </c>
      <c r="L89" s="3">
        <v>419017.9</v>
      </c>
      <c r="M89" s="3">
        <v>499301.44</v>
      </c>
      <c r="N89" s="3">
        <v>112490.06</v>
      </c>
      <c r="O89" s="34">
        <v>1136084</v>
      </c>
      <c r="P89" s="34">
        <v>1749588.23</v>
      </c>
      <c r="Q89" s="34" t="s">
        <v>25</v>
      </c>
      <c r="R89" s="4">
        <v>1918461.15</v>
      </c>
      <c r="S89" s="3">
        <v>38074057.810000002</v>
      </c>
      <c r="T89" s="4">
        <v>1803153.51</v>
      </c>
      <c r="U89" s="4">
        <v>114126.78</v>
      </c>
      <c r="V89" s="4">
        <v>0</v>
      </c>
      <c r="W89" s="23">
        <v>1863.44</v>
      </c>
      <c r="X89" s="34"/>
      <c r="Y89" s="3">
        <v>145296029.27000001</v>
      </c>
    </row>
    <row r="90" spans="1:25" x14ac:dyDescent="0.3">
      <c r="A90" s="7">
        <v>27515</v>
      </c>
      <c r="B90" s="2">
        <f t="shared" si="1"/>
        <v>5599</v>
      </c>
      <c r="C90" s="3">
        <f>736944.54+24390.44</f>
        <v>761334.98</v>
      </c>
      <c r="D90" s="3">
        <v>6950929.4900000002</v>
      </c>
      <c r="E90" s="3">
        <v>246444.14</v>
      </c>
      <c r="F90" s="4">
        <v>1753698.03</v>
      </c>
      <c r="G90" s="3">
        <v>13526909.33</v>
      </c>
      <c r="H90" s="4">
        <v>2649232.46</v>
      </c>
      <c r="I90" s="3">
        <v>5492500.0599999996</v>
      </c>
      <c r="J90" s="3">
        <v>784124.12</v>
      </c>
      <c r="K90" s="4">
        <v>20909158.66</v>
      </c>
      <c r="L90" s="3">
        <v>256341.1</v>
      </c>
      <c r="M90" s="3">
        <v>462350.99</v>
      </c>
      <c r="N90" s="3">
        <v>22544.720000000001</v>
      </c>
      <c r="O90" s="34">
        <v>1097892.78</v>
      </c>
      <c r="P90" s="34">
        <v>1882025.67</v>
      </c>
      <c r="Q90" s="34" t="s">
        <v>25</v>
      </c>
      <c r="R90" s="4">
        <v>1906844.76</v>
      </c>
      <c r="S90" s="3">
        <v>39133864.979999997</v>
      </c>
      <c r="T90" s="4">
        <v>1538120.02</v>
      </c>
      <c r="U90" s="4">
        <v>154400.26999999999</v>
      </c>
      <c r="V90" s="4">
        <v>0</v>
      </c>
      <c r="W90" s="23">
        <v>3608.28</v>
      </c>
      <c r="X90" s="34"/>
      <c r="Y90" s="3">
        <v>99377924.569999993</v>
      </c>
    </row>
    <row r="91" spans="1:25" x14ac:dyDescent="0.3">
      <c r="A91" s="7">
        <v>27546</v>
      </c>
      <c r="B91" s="2">
        <f t="shared" si="1"/>
        <v>5630</v>
      </c>
      <c r="C91" s="3">
        <f>2586476.99+58959.56</f>
        <v>2645436.5500000003</v>
      </c>
      <c r="D91" s="3">
        <v>6675824.0199999996</v>
      </c>
      <c r="E91" s="3">
        <v>320568.43</v>
      </c>
      <c r="F91" s="4">
        <v>2280786.56</v>
      </c>
      <c r="G91" s="3">
        <v>13356193.41</v>
      </c>
      <c r="H91" s="4">
        <v>2549057.2400000002</v>
      </c>
      <c r="I91" s="3">
        <v>5557089.5700000003</v>
      </c>
      <c r="J91" s="3">
        <v>760225.37</v>
      </c>
      <c r="K91" s="4">
        <v>3361711.28</v>
      </c>
      <c r="L91" s="3">
        <v>236946.22</v>
      </c>
      <c r="M91" s="3">
        <v>521973.11</v>
      </c>
      <c r="N91" s="3">
        <v>2394340.5099999998</v>
      </c>
      <c r="O91" s="34">
        <v>1232462.1499999999</v>
      </c>
      <c r="P91" s="34">
        <v>5158416.58</v>
      </c>
      <c r="Q91" s="34" t="s">
        <v>25</v>
      </c>
      <c r="R91" s="4">
        <v>1926736.42</v>
      </c>
      <c r="S91" s="3">
        <v>42304949.630000003</v>
      </c>
      <c r="T91" s="4">
        <v>1681459.45</v>
      </c>
      <c r="U91" s="4">
        <v>153366.84</v>
      </c>
      <c r="V91" s="4">
        <v>0</v>
      </c>
      <c r="W91" s="23">
        <v>3200.11</v>
      </c>
      <c r="X91" s="34"/>
      <c r="Y91" s="3">
        <v>92967376.609999999</v>
      </c>
    </row>
    <row r="92" spans="1:25" x14ac:dyDescent="0.3">
      <c r="A92" s="7">
        <v>27576</v>
      </c>
      <c r="B92" s="2">
        <f t="shared" si="1"/>
        <v>5660</v>
      </c>
      <c r="C92" s="3">
        <f>1261896.86+30164.56</f>
        <v>1292061.4200000002</v>
      </c>
      <c r="D92" s="3">
        <v>15093025.9</v>
      </c>
      <c r="E92" s="3">
        <v>147532.39000000001</v>
      </c>
      <c r="F92" s="4">
        <v>3163507.99</v>
      </c>
      <c r="G92" s="3">
        <v>13664798.49</v>
      </c>
      <c r="H92" s="4">
        <v>2618005.7799999998</v>
      </c>
      <c r="I92" s="3">
        <v>5814666.5700000003</v>
      </c>
      <c r="J92" s="3">
        <v>768421.03</v>
      </c>
      <c r="K92" s="4">
        <v>1697174.85</v>
      </c>
      <c r="L92" s="3">
        <v>222571.34</v>
      </c>
      <c r="M92" s="3">
        <v>460793.12</v>
      </c>
      <c r="N92" s="3">
        <v>60306.07</v>
      </c>
      <c r="O92" s="34">
        <v>1184355.0900000001</v>
      </c>
      <c r="P92" s="34">
        <v>3400338.05</v>
      </c>
      <c r="Q92" s="34" t="s">
        <v>25</v>
      </c>
      <c r="R92" s="9">
        <v>1870125.12</v>
      </c>
      <c r="S92" s="3">
        <v>42748543.079999998</v>
      </c>
      <c r="T92" s="4">
        <v>1839516.99</v>
      </c>
      <c r="U92" s="4">
        <v>136579</v>
      </c>
      <c r="V92" s="4">
        <v>0</v>
      </c>
      <c r="W92" s="23">
        <v>2404.92</v>
      </c>
      <c r="X92" s="34"/>
      <c r="Y92" s="3">
        <v>96048148.200000003</v>
      </c>
    </row>
    <row r="93" spans="1:25" x14ac:dyDescent="0.3">
      <c r="A93" s="7">
        <v>27607</v>
      </c>
      <c r="B93" s="2">
        <f t="shared" si="1"/>
        <v>5691</v>
      </c>
      <c r="C93" s="3">
        <f>819940.25+23888.54</f>
        <v>843828.79</v>
      </c>
      <c r="D93" s="3">
        <v>4174291.34</v>
      </c>
      <c r="E93" s="3">
        <v>214017.02</v>
      </c>
      <c r="F93" s="4">
        <v>2718155.16</v>
      </c>
      <c r="G93" s="3">
        <v>14145882.810000001</v>
      </c>
      <c r="H93" s="4">
        <v>2628714.75</v>
      </c>
      <c r="I93" s="3">
        <v>5472587.0199999996</v>
      </c>
      <c r="J93" s="3">
        <v>849506.27</v>
      </c>
      <c r="K93" s="4">
        <v>1784643.9</v>
      </c>
      <c r="L93" s="3">
        <v>208614.36</v>
      </c>
      <c r="M93" s="3">
        <v>481292.02</v>
      </c>
      <c r="N93" s="3">
        <v>30390.21</v>
      </c>
      <c r="O93" s="34">
        <v>1579335.66</v>
      </c>
      <c r="P93" s="34">
        <v>9526950.5399999991</v>
      </c>
      <c r="Q93" s="34" t="s">
        <v>25</v>
      </c>
      <c r="R93" s="4">
        <v>2000542.87</v>
      </c>
      <c r="S93" s="3">
        <v>43342561.07</v>
      </c>
      <c r="T93" s="4">
        <v>1649535.74</v>
      </c>
      <c r="U93" s="4">
        <v>144361.56</v>
      </c>
      <c r="V93" s="4">
        <v>0</v>
      </c>
      <c r="W93" s="23">
        <v>2740.62</v>
      </c>
      <c r="X93" s="34"/>
      <c r="Y93" s="3">
        <v>91653590.150000006</v>
      </c>
    </row>
    <row r="94" spans="1:25" x14ac:dyDescent="0.3">
      <c r="A94" s="7">
        <v>27638</v>
      </c>
      <c r="B94" s="2">
        <f t="shared" si="1"/>
        <v>5722</v>
      </c>
      <c r="C94" s="3">
        <f>2309921.28+48180.46</f>
        <v>2358101.7399999998</v>
      </c>
      <c r="D94" s="3">
        <v>7279528.8399999999</v>
      </c>
      <c r="E94" s="3">
        <v>145911.07999999999</v>
      </c>
      <c r="F94" s="4">
        <v>1747534.14</v>
      </c>
      <c r="G94" s="3">
        <v>14152529.390000001</v>
      </c>
      <c r="H94" s="4">
        <v>2673418</v>
      </c>
      <c r="I94" s="3">
        <v>5566844.8700000001</v>
      </c>
      <c r="J94" s="3">
        <v>704100.89</v>
      </c>
      <c r="K94" s="4">
        <v>1602531.1</v>
      </c>
      <c r="L94" s="3">
        <v>200296.36</v>
      </c>
      <c r="M94" s="3">
        <v>546829.11</v>
      </c>
      <c r="N94" s="3">
        <v>19180.05</v>
      </c>
      <c r="O94" s="34">
        <v>1458440.38</v>
      </c>
      <c r="P94" s="34">
        <v>1918655.81</v>
      </c>
      <c r="Q94" s="34" t="s">
        <v>25</v>
      </c>
      <c r="R94" s="4">
        <v>1907644.19</v>
      </c>
      <c r="S94" s="3">
        <v>43384668.899999999</v>
      </c>
      <c r="T94" s="4">
        <v>1829194.3</v>
      </c>
      <c r="U94" s="4">
        <v>151518.44</v>
      </c>
      <c r="V94" s="4">
        <v>0</v>
      </c>
      <c r="W94" s="23">
        <v>1961.91</v>
      </c>
      <c r="X94" s="34"/>
      <c r="Y94" s="3">
        <v>87497371.060000002</v>
      </c>
    </row>
    <row r="95" spans="1:25" x14ac:dyDescent="0.3">
      <c r="A95" s="7">
        <v>27668</v>
      </c>
      <c r="B95" s="2">
        <f t="shared" si="1"/>
        <v>5752</v>
      </c>
      <c r="C95" s="3">
        <f>2198523.98+35902.11</f>
        <v>2234426.09</v>
      </c>
      <c r="D95" s="3">
        <v>16579740.130000001</v>
      </c>
      <c r="E95" s="3">
        <v>214311.46</v>
      </c>
      <c r="F95" s="4">
        <v>2538912.62</v>
      </c>
      <c r="G95" s="3">
        <v>13813258.439999999</v>
      </c>
      <c r="H95" s="4">
        <v>2614401.88</v>
      </c>
      <c r="I95" s="3">
        <v>5494020.0899999999</v>
      </c>
      <c r="J95" s="3">
        <v>757115.37</v>
      </c>
      <c r="K95" s="4">
        <v>1125281.08</v>
      </c>
      <c r="L95" s="3">
        <v>227223.75</v>
      </c>
      <c r="M95" s="3">
        <v>527541.28</v>
      </c>
      <c r="N95" s="3">
        <v>14974.31</v>
      </c>
      <c r="O95" s="34">
        <v>1611708.73</v>
      </c>
      <c r="P95" s="34">
        <v>2170204.39</v>
      </c>
      <c r="Q95" s="34" t="s">
        <v>25</v>
      </c>
      <c r="R95" s="4">
        <v>1973702.43</v>
      </c>
      <c r="S95" s="3">
        <v>43478009.710000001</v>
      </c>
      <c r="T95" s="4">
        <v>2315340.73</v>
      </c>
      <c r="U95" s="4">
        <v>144226.66</v>
      </c>
      <c r="V95" s="4">
        <v>0</v>
      </c>
      <c r="W95" s="23">
        <v>3875.47</v>
      </c>
      <c r="X95" s="34"/>
      <c r="Y95" s="3">
        <v>97694047.959999993</v>
      </c>
    </row>
    <row r="96" spans="1:25" x14ac:dyDescent="0.3">
      <c r="A96" s="7">
        <v>27699</v>
      </c>
      <c r="B96" s="2">
        <f t="shared" si="1"/>
        <v>5783</v>
      </c>
      <c r="C96" s="3">
        <f>1039171.06+24075.17</f>
        <v>1063246.23</v>
      </c>
      <c r="D96" s="3">
        <v>3382334.36</v>
      </c>
      <c r="E96" s="3">
        <v>81677.58</v>
      </c>
      <c r="F96" s="4">
        <v>1866984.81</v>
      </c>
      <c r="G96" s="3">
        <v>13167638.9</v>
      </c>
      <c r="H96" s="4">
        <v>2674245.65</v>
      </c>
      <c r="I96" s="3">
        <v>5185047.29</v>
      </c>
      <c r="J96" s="3">
        <v>675336.86</v>
      </c>
      <c r="K96" s="4">
        <v>1419152.46</v>
      </c>
      <c r="L96" s="3">
        <v>201744.05</v>
      </c>
      <c r="M96" s="3">
        <v>527399.80000000005</v>
      </c>
      <c r="N96" s="3">
        <v>7905.86</v>
      </c>
      <c r="O96" s="34">
        <v>1480805.86</v>
      </c>
      <c r="P96" s="34">
        <v>2231444.73</v>
      </c>
      <c r="Q96" s="34" t="s">
        <v>25</v>
      </c>
      <c r="R96" s="4">
        <v>2138648.67</v>
      </c>
      <c r="S96" s="3">
        <v>43420037.619999997</v>
      </c>
      <c r="T96" s="4">
        <v>1711823.33</v>
      </c>
      <c r="U96" s="4">
        <v>151183.6</v>
      </c>
      <c r="V96" s="4">
        <v>0</v>
      </c>
      <c r="W96" s="23">
        <v>1675.9</v>
      </c>
      <c r="X96" s="34"/>
      <c r="Y96" s="3">
        <v>81237149.959999993</v>
      </c>
    </row>
    <row r="97" spans="1:25" x14ac:dyDescent="0.3">
      <c r="A97" s="7">
        <v>27729</v>
      </c>
      <c r="B97" s="2">
        <f t="shared" si="1"/>
        <v>5813</v>
      </c>
      <c r="C97" s="3">
        <f>1277821.81+31242.24</f>
        <v>1309064.05</v>
      </c>
      <c r="D97" s="3">
        <v>5802966.1799999997</v>
      </c>
      <c r="E97" s="3">
        <v>670083.94999999995</v>
      </c>
      <c r="F97" s="4">
        <v>1836762.68</v>
      </c>
      <c r="G97" s="3">
        <v>11060037.65</v>
      </c>
      <c r="H97" s="4">
        <v>2391294.0099999998</v>
      </c>
      <c r="I97" s="3">
        <v>5551537.46</v>
      </c>
      <c r="J97" s="3">
        <v>610072.06000000006</v>
      </c>
      <c r="K97" s="4">
        <v>1305398.3899999999</v>
      </c>
      <c r="L97" s="3">
        <v>189570.1</v>
      </c>
      <c r="M97" s="3">
        <v>547762.35</v>
      </c>
      <c r="N97" s="3">
        <v>5488.04</v>
      </c>
      <c r="O97" s="34">
        <v>1256735.17</v>
      </c>
      <c r="P97" s="34">
        <v>1953751.83</v>
      </c>
      <c r="Q97" s="34" t="s">
        <v>25</v>
      </c>
      <c r="R97" s="4">
        <v>2447039.73</v>
      </c>
      <c r="S97" s="3">
        <v>43798128.670000002</v>
      </c>
      <c r="T97" s="4">
        <v>1863115.78</v>
      </c>
      <c r="U97" s="4">
        <v>139035.82</v>
      </c>
      <c r="V97" s="4">
        <v>0</v>
      </c>
      <c r="W97" s="23">
        <v>4038.63</v>
      </c>
      <c r="X97" s="34"/>
      <c r="Y97" s="3">
        <v>82602846.730000004</v>
      </c>
    </row>
    <row r="98" spans="1:25" x14ac:dyDescent="0.3">
      <c r="A98" s="7">
        <v>27760</v>
      </c>
      <c r="B98" s="2">
        <f t="shared" si="1"/>
        <v>5844</v>
      </c>
      <c r="C98" s="3">
        <f>1472388.95+29164.63</f>
        <v>1501553.5799999998</v>
      </c>
      <c r="D98" s="3">
        <v>16694482.949999999</v>
      </c>
      <c r="E98" s="3">
        <v>1097318.8899999999</v>
      </c>
      <c r="F98" s="4">
        <v>2407317.7799999998</v>
      </c>
      <c r="G98" s="3">
        <v>14949568.859999999</v>
      </c>
      <c r="H98" s="4">
        <v>2911673.73</v>
      </c>
      <c r="I98" s="3">
        <v>5073884.1500000004</v>
      </c>
      <c r="J98" s="3">
        <v>659447.38</v>
      </c>
      <c r="K98" s="4">
        <v>831504.35</v>
      </c>
      <c r="L98" s="3">
        <v>196237.44</v>
      </c>
      <c r="M98" s="3">
        <v>596097.18999999994</v>
      </c>
      <c r="N98" s="3">
        <v>37115.550000000003</v>
      </c>
      <c r="O98" s="34">
        <v>1658287.04</v>
      </c>
      <c r="P98" s="34">
        <v>1970777.73</v>
      </c>
      <c r="Q98" s="34" t="s">
        <v>25</v>
      </c>
      <c r="R98" s="4">
        <v>3181803.99</v>
      </c>
      <c r="S98" s="3">
        <v>50411973.479999997</v>
      </c>
      <c r="T98" s="4">
        <v>2380376.4</v>
      </c>
      <c r="U98" s="4">
        <v>132290.35</v>
      </c>
      <c r="V98" s="4">
        <v>0</v>
      </c>
      <c r="W98" s="23">
        <v>1893.63</v>
      </c>
      <c r="X98" s="34"/>
      <c r="Y98" s="3">
        <v>106561314.12</v>
      </c>
    </row>
    <row r="99" spans="1:25" x14ac:dyDescent="0.3">
      <c r="A99" s="7">
        <v>27791</v>
      </c>
      <c r="B99" s="2">
        <f t="shared" si="1"/>
        <v>5875</v>
      </c>
      <c r="C99" s="3">
        <f>1066152.32+30285.75</f>
        <v>1096438.07</v>
      </c>
      <c r="D99" s="3">
        <v>3771419.28</v>
      </c>
      <c r="E99" s="3">
        <v>1349282.02</v>
      </c>
      <c r="F99" s="4">
        <v>2349832.75</v>
      </c>
      <c r="G99" s="3">
        <v>13428867.689999999</v>
      </c>
      <c r="H99" s="4">
        <v>2660964.0299999998</v>
      </c>
      <c r="I99" s="3">
        <v>5092088.46</v>
      </c>
      <c r="J99" s="3">
        <v>719246.1</v>
      </c>
      <c r="K99" s="4">
        <v>562440.42000000004</v>
      </c>
      <c r="L99" s="3">
        <v>172127.87</v>
      </c>
      <c r="M99" s="3">
        <v>569086.12</v>
      </c>
      <c r="N99" s="3">
        <v>134137.09</v>
      </c>
      <c r="O99" s="34">
        <v>1302467.94</v>
      </c>
      <c r="P99" s="34">
        <v>2260142.31</v>
      </c>
      <c r="Q99" s="34" t="s">
        <v>25</v>
      </c>
      <c r="R99" s="4">
        <v>1741721.23</v>
      </c>
      <c r="S99" s="3">
        <v>43059368.810000002</v>
      </c>
      <c r="T99" s="4">
        <v>1660346.93</v>
      </c>
      <c r="U99" s="4">
        <v>130546.25</v>
      </c>
      <c r="V99" s="4">
        <v>0</v>
      </c>
      <c r="W99" s="23">
        <v>2832.15</v>
      </c>
      <c r="X99" s="34"/>
      <c r="Y99" s="3">
        <v>81932809.269999996</v>
      </c>
    </row>
    <row r="100" spans="1:25" x14ac:dyDescent="0.3">
      <c r="A100" s="7">
        <v>27820</v>
      </c>
      <c r="B100" s="2">
        <f t="shared" si="1"/>
        <v>5904</v>
      </c>
      <c r="C100" s="3">
        <f>7537895.15+132293.03</f>
        <v>7670188.1800000006</v>
      </c>
      <c r="D100" s="3">
        <v>15199184.73</v>
      </c>
      <c r="E100" s="3">
        <v>2666659.33</v>
      </c>
      <c r="F100" s="4">
        <v>3224805.32</v>
      </c>
      <c r="G100" s="3">
        <v>11407977.58</v>
      </c>
      <c r="H100" s="4">
        <v>2473598.0699999998</v>
      </c>
      <c r="I100" s="3">
        <v>5547810.3399999999</v>
      </c>
      <c r="J100" s="11">
        <v>666163.31000000006</v>
      </c>
      <c r="K100" s="10">
        <v>12705076.99</v>
      </c>
      <c r="L100" s="3">
        <v>362501.7</v>
      </c>
      <c r="M100" s="3">
        <v>543396.93000000005</v>
      </c>
      <c r="N100" s="3">
        <v>198222.12</v>
      </c>
      <c r="O100" s="34">
        <v>1278681.44</v>
      </c>
      <c r="P100" s="34">
        <v>1839940.75</v>
      </c>
      <c r="Q100" s="34" t="s">
        <v>25</v>
      </c>
      <c r="R100" s="4">
        <v>1824014.34</v>
      </c>
      <c r="S100" s="3">
        <v>40328954.43</v>
      </c>
      <c r="T100" s="4">
        <v>1499223.14</v>
      </c>
      <c r="U100" s="4">
        <v>156701.19</v>
      </c>
      <c r="V100" s="4">
        <v>0</v>
      </c>
      <c r="W100" s="23">
        <v>6348.16</v>
      </c>
      <c r="X100" s="34"/>
      <c r="Y100" s="3">
        <v>109442746.86</v>
      </c>
    </row>
    <row r="101" spans="1:25" x14ac:dyDescent="0.3">
      <c r="A101" s="7">
        <v>27851</v>
      </c>
      <c r="B101" s="2">
        <f t="shared" si="1"/>
        <v>5935</v>
      </c>
      <c r="C101" s="3">
        <f>8907493.69+89981.24</f>
        <v>8997474.9299999997</v>
      </c>
      <c r="D101" s="3">
        <v>29540267.210000001</v>
      </c>
      <c r="E101" s="3">
        <v>14684022.01</v>
      </c>
      <c r="F101" s="4">
        <v>3359246.3</v>
      </c>
      <c r="G101" s="3">
        <v>12874097.34</v>
      </c>
      <c r="H101" s="4">
        <v>2526567.0699999998</v>
      </c>
      <c r="I101" s="3">
        <v>5767242.2699999996</v>
      </c>
      <c r="J101" s="3">
        <v>642757.24</v>
      </c>
      <c r="K101" s="4">
        <v>28398900.309999999</v>
      </c>
      <c r="L101" s="3">
        <v>420215.07</v>
      </c>
      <c r="M101" s="3">
        <v>618751.57999999996</v>
      </c>
      <c r="N101" s="3">
        <v>132505.76</v>
      </c>
      <c r="O101" s="34">
        <v>1753823.56</v>
      </c>
      <c r="P101" s="34">
        <v>2100484.88</v>
      </c>
      <c r="Q101" s="34" t="s">
        <v>25</v>
      </c>
      <c r="R101" s="4">
        <v>2187331.71</v>
      </c>
      <c r="S101" s="3">
        <v>47467092.57</v>
      </c>
      <c r="T101" s="4">
        <v>2559213.1</v>
      </c>
      <c r="U101" s="4">
        <v>163357.35999999999</v>
      </c>
      <c r="V101" s="4">
        <v>0</v>
      </c>
      <c r="W101" s="23">
        <v>3111.91</v>
      </c>
      <c r="X101" s="34"/>
      <c r="Y101" s="3">
        <v>164033104.81999999</v>
      </c>
    </row>
    <row r="102" spans="1:25" x14ac:dyDescent="0.3">
      <c r="A102" s="7">
        <v>27881</v>
      </c>
      <c r="B102" s="2">
        <f t="shared" si="1"/>
        <v>5965</v>
      </c>
      <c r="C102" s="3">
        <f>922734.6+25251.18</f>
        <v>947985.78</v>
      </c>
      <c r="D102" s="3">
        <v>4357122.0999999996</v>
      </c>
      <c r="E102" s="3">
        <v>381905.69</v>
      </c>
      <c r="F102" s="4">
        <v>2059974.07</v>
      </c>
      <c r="G102" s="3">
        <v>13779946.609999999</v>
      </c>
      <c r="H102" s="4">
        <v>2661135.9500000002</v>
      </c>
      <c r="I102" s="3">
        <v>5682226.3600000003</v>
      </c>
      <c r="J102" s="3">
        <v>719899.19</v>
      </c>
      <c r="K102" s="4">
        <v>20033210.510000002</v>
      </c>
      <c r="L102" s="3">
        <v>290405.78999999998</v>
      </c>
      <c r="M102" s="3">
        <v>575692.87</v>
      </c>
      <c r="N102" s="3">
        <v>31374.74</v>
      </c>
      <c r="O102" s="34">
        <v>1568259.84</v>
      </c>
      <c r="P102" s="34">
        <v>2093610.36</v>
      </c>
      <c r="Q102" s="34" t="s">
        <v>25</v>
      </c>
      <c r="R102" s="4">
        <v>2020519.43</v>
      </c>
      <c r="S102" s="3">
        <v>56151321.509999998</v>
      </c>
      <c r="T102" s="4">
        <v>1594214.97</v>
      </c>
      <c r="U102" s="4">
        <v>146784.87</v>
      </c>
      <c r="V102" s="4">
        <v>0</v>
      </c>
      <c r="W102" s="23">
        <v>1899.63</v>
      </c>
      <c r="X102" s="34"/>
      <c r="Y102" s="3">
        <v>114950705.40000001</v>
      </c>
    </row>
    <row r="103" spans="1:25" x14ac:dyDescent="0.3">
      <c r="A103" s="7">
        <v>27912</v>
      </c>
      <c r="B103" s="2">
        <f t="shared" si="1"/>
        <v>5996</v>
      </c>
      <c r="C103" s="3">
        <f>2452590.13+56804.24</f>
        <v>2509394.37</v>
      </c>
      <c r="D103" s="3">
        <v>6746612.3600000003</v>
      </c>
      <c r="E103" s="3">
        <v>478357.37</v>
      </c>
      <c r="F103" s="4">
        <v>3409592.63</v>
      </c>
      <c r="G103" s="3">
        <v>13859852.369999999</v>
      </c>
      <c r="H103" s="4">
        <v>2764363.2</v>
      </c>
      <c r="I103" s="3">
        <v>5648409.1699999999</v>
      </c>
      <c r="J103" s="3">
        <v>686351.94</v>
      </c>
      <c r="K103" s="4">
        <v>6440550.6799999997</v>
      </c>
      <c r="L103" s="3">
        <v>251710.83</v>
      </c>
      <c r="M103" s="3">
        <v>641152.79</v>
      </c>
      <c r="N103" s="3">
        <v>2686149.37</v>
      </c>
      <c r="O103" s="34">
        <v>1513987.16</v>
      </c>
      <c r="P103" s="34">
        <v>9394083.9299999997</v>
      </c>
      <c r="Q103" s="34" t="s">
        <v>25</v>
      </c>
      <c r="R103" s="4">
        <v>1938772.02</v>
      </c>
      <c r="S103" s="3">
        <v>56408056.219999999</v>
      </c>
      <c r="T103" s="4">
        <v>1915173.9</v>
      </c>
      <c r="U103" s="4">
        <v>158257.67000000001</v>
      </c>
      <c r="V103" s="4">
        <v>0</v>
      </c>
      <c r="W103" s="23">
        <v>3049.05</v>
      </c>
      <c r="X103" s="34"/>
      <c r="Y103" s="3">
        <v>117295619.36</v>
      </c>
    </row>
    <row r="104" spans="1:25" x14ac:dyDescent="0.3">
      <c r="A104" s="7">
        <v>27942</v>
      </c>
      <c r="B104" s="2">
        <f t="shared" si="1"/>
        <v>6026</v>
      </c>
      <c r="C104" s="3">
        <f>1115723.77+31984.72</f>
        <v>1147708.49</v>
      </c>
      <c r="D104" s="3">
        <v>19701167.02</v>
      </c>
      <c r="E104" s="3">
        <v>239111</v>
      </c>
      <c r="F104" s="4">
        <v>1813792.74</v>
      </c>
      <c r="G104" s="3">
        <v>13681110.68</v>
      </c>
      <c r="H104" s="4">
        <v>2733389.32</v>
      </c>
      <c r="I104" s="3">
        <v>5579523.25</v>
      </c>
      <c r="J104" s="3">
        <v>742305.33</v>
      </c>
      <c r="K104" s="4">
        <v>1643940.91</v>
      </c>
      <c r="L104" s="3">
        <v>229870.9</v>
      </c>
      <c r="M104" s="3">
        <v>591919.49</v>
      </c>
      <c r="N104" s="3">
        <v>73465.75</v>
      </c>
      <c r="O104" s="34">
        <v>1948312.81</v>
      </c>
      <c r="P104" s="34">
        <v>3943188.83</v>
      </c>
      <c r="Q104" s="34" t="s">
        <v>25</v>
      </c>
      <c r="R104" s="4">
        <v>2067007.06</v>
      </c>
      <c r="S104" s="3">
        <v>58801937.289999999</v>
      </c>
      <c r="T104" s="4">
        <v>2597049.4900000002</v>
      </c>
      <c r="U104" s="4">
        <v>160265.85</v>
      </c>
      <c r="V104" s="4">
        <v>0</v>
      </c>
      <c r="W104" s="23">
        <v>5004.4799999999996</v>
      </c>
      <c r="X104" s="34"/>
      <c r="Y104" s="3">
        <v>117539804.84</v>
      </c>
    </row>
    <row r="105" spans="1:25" x14ac:dyDescent="0.3">
      <c r="A105" s="7">
        <v>27973</v>
      </c>
      <c r="B105" s="2">
        <f t="shared" si="1"/>
        <v>6057</v>
      </c>
      <c r="C105" s="3">
        <f>1154666.81+27603.84</f>
        <v>1182270.6500000001</v>
      </c>
      <c r="D105" s="3">
        <v>4866493.8099999996</v>
      </c>
      <c r="E105" s="3">
        <v>451452.19</v>
      </c>
      <c r="F105" s="4">
        <v>2230146.31</v>
      </c>
      <c r="G105" s="3">
        <v>16636280.65</v>
      </c>
      <c r="H105" s="4">
        <v>3237045.68</v>
      </c>
      <c r="I105" s="3">
        <v>5908053.5599999996</v>
      </c>
      <c r="J105" s="3">
        <v>716298.56</v>
      </c>
      <c r="K105" s="4">
        <v>1818141.4</v>
      </c>
      <c r="L105" s="3">
        <v>249415.08</v>
      </c>
      <c r="M105" s="3">
        <v>586089.09</v>
      </c>
      <c r="N105" s="3">
        <v>33152.25</v>
      </c>
      <c r="O105" s="34">
        <v>1727889.37</v>
      </c>
      <c r="P105" s="34">
        <v>12287758.6</v>
      </c>
      <c r="Q105" s="34" t="s">
        <v>25</v>
      </c>
      <c r="R105" s="4">
        <v>1890419.96</v>
      </c>
      <c r="S105" s="3">
        <v>59898164.359999999</v>
      </c>
      <c r="T105" s="4">
        <v>1540728.98</v>
      </c>
      <c r="U105" s="4">
        <v>132551.95000000001</v>
      </c>
      <c r="V105" s="4">
        <v>0</v>
      </c>
      <c r="W105" s="23">
        <v>4612.8599999999997</v>
      </c>
      <c r="X105" s="34"/>
      <c r="Y105" s="3">
        <v>115264413.36</v>
      </c>
    </row>
    <row r="106" spans="1:25" x14ac:dyDescent="0.3">
      <c r="A106" s="7">
        <v>28004</v>
      </c>
      <c r="B106" s="2">
        <f t="shared" si="1"/>
        <v>6088</v>
      </c>
      <c r="C106" s="3">
        <f>1835837.34+44082.94</f>
        <v>1879920.28</v>
      </c>
      <c r="D106" s="3">
        <v>6061691.9400000004</v>
      </c>
      <c r="E106" s="3">
        <v>316418.2</v>
      </c>
      <c r="F106" s="4">
        <v>2901261.64</v>
      </c>
      <c r="G106" s="3">
        <v>14930625.5</v>
      </c>
      <c r="H106" s="4">
        <v>2914031.95</v>
      </c>
      <c r="I106" s="3">
        <v>5803464.9000000004</v>
      </c>
      <c r="J106" s="3">
        <v>838480.2</v>
      </c>
      <c r="K106" s="4">
        <v>1776528.64</v>
      </c>
      <c r="L106" s="3">
        <v>228692.78</v>
      </c>
      <c r="M106" s="3">
        <v>596333.41</v>
      </c>
      <c r="N106" s="3">
        <v>18979.009999999998</v>
      </c>
      <c r="O106" s="34">
        <v>1830719.02</v>
      </c>
      <c r="P106" s="34">
        <v>2495525.38</v>
      </c>
      <c r="Q106" s="34" t="s">
        <v>25</v>
      </c>
      <c r="R106" s="4">
        <v>1983056.18</v>
      </c>
      <c r="S106" s="3">
        <v>59593827.509999998</v>
      </c>
      <c r="T106" s="4">
        <v>1946953.36</v>
      </c>
      <c r="U106" s="4">
        <v>169956.02</v>
      </c>
      <c r="V106" s="4">
        <v>0</v>
      </c>
      <c r="W106" s="23">
        <v>7139.92</v>
      </c>
      <c r="X106" s="34"/>
      <c r="Y106" s="3">
        <v>106123649.81999999</v>
      </c>
    </row>
    <row r="107" spans="1:25" x14ac:dyDescent="0.3">
      <c r="A107" s="7">
        <v>28034</v>
      </c>
      <c r="B107" s="2">
        <f t="shared" si="1"/>
        <v>6118</v>
      </c>
      <c r="C107" s="3">
        <f>1910649.84+32847.08</f>
        <v>1943496.9200000002</v>
      </c>
      <c r="D107" s="3">
        <v>21860450.260000002</v>
      </c>
      <c r="E107" s="3">
        <v>253212.13</v>
      </c>
      <c r="F107" s="4">
        <v>3379305.21</v>
      </c>
      <c r="G107" s="3">
        <v>13482853.75</v>
      </c>
      <c r="H107" s="4">
        <v>2580329.41</v>
      </c>
      <c r="I107" s="3">
        <v>5563833.1399999997</v>
      </c>
      <c r="J107" s="3">
        <v>818042.12</v>
      </c>
      <c r="K107" s="4">
        <v>1139981.99</v>
      </c>
      <c r="L107" s="3">
        <v>215290.45</v>
      </c>
      <c r="M107" s="3">
        <v>636160.93000000005</v>
      </c>
      <c r="N107" s="3">
        <v>24033.49</v>
      </c>
      <c r="O107" s="34">
        <v>1827235.6</v>
      </c>
      <c r="P107" s="34">
        <v>175931.82</v>
      </c>
      <c r="Q107" s="34" t="s">
        <v>25</v>
      </c>
      <c r="R107" s="4">
        <v>2008132.96</v>
      </c>
      <c r="S107" s="3">
        <v>57960933.200000003</v>
      </c>
      <c r="T107" s="4">
        <v>2343167.12</v>
      </c>
      <c r="U107" s="4">
        <v>170601.76</v>
      </c>
      <c r="V107" s="4">
        <v>0</v>
      </c>
      <c r="W107" s="23">
        <v>6330.13</v>
      </c>
      <c r="X107" s="34"/>
      <c r="Y107" s="3">
        <v>116218720.63</v>
      </c>
    </row>
    <row r="108" spans="1:25" x14ac:dyDescent="0.3">
      <c r="A108" s="7">
        <v>28065</v>
      </c>
      <c r="B108" s="2">
        <f t="shared" si="1"/>
        <v>6149</v>
      </c>
      <c r="C108" s="3">
        <f>973614.01+22797.86</f>
        <v>996411.87</v>
      </c>
      <c r="D108" s="3">
        <v>4444417.5599999996</v>
      </c>
      <c r="E108" s="3">
        <v>107715.08</v>
      </c>
      <c r="F108" s="4">
        <v>3444582.3</v>
      </c>
      <c r="G108" s="3">
        <v>13950301.23</v>
      </c>
      <c r="H108" s="4">
        <v>2919160.83</v>
      </c>
      <c r="I108" s="3">
        <v>5435191.4800000004</v>
      </c>
      <c r="J108" s="3">
        <v>761016.18</v>
      </c>
      <c r="K108" s="4">
        <v>1138270.76</v>
      </c>
      <c r="L108" s="3">
        <v>209263.11</v>
      </c>
      <c r="M108" s="3">
        <v>677944.07</v>
      </c>
      <c r="N108" s="3">
        <v>10171.620000000001</v>
      </c>
      <c r="O108" s="34">
        <v>1609221.38</v>
      </c>
      <c r="P108" s="34">
        <v>5160488.42</v>
      </c>
      <c r="Q108" s="34" t="s">
        <v>25</v>
      </c>
      <c r="R108" s="4">
        <v>2105060.0299999998</v>
      </c>
      <c r="S108" s="3">
        <v>61145392.210000001</v>
      </c>
      <c r="T108" s="4">
        <v>1863043.38</v>
      </c>
      <c r="U108" s="4">
        <v>159307.79999999999</v>
      </c>
      <c r="V108" s="4">
        <v>0</v>
      </c>
      <c r="W108" s="23">
        <v>5968.59</v>
      </c>
      <c r="X108" s="34"/>
      <c r="Y108" s="3">
        <v>105983620.09999999</v>
      </c>
    </row>
    <row r="109" spans="1:25" x14ac:dyDescent="0.3">
      <c r="A109" s="7">
        <v>28095</v>
      </c>
      <c r="B109" s="2">
        <f t="shared" si="1"/>
        <v>6179</v>
      </c>
      <c r="C109" s="3">
        <f>1476860.44+35803.46</f>
        <v>1512663.9</v>
      </c>
      <c r="D109" s="3">
        <v>6694501.5</v>
      </c>
      <c r="E109" s="3">
        <v>419544.29</v>
      </c>
      <c r="F109" s="4">
        <v>2818041.4</v>
      </c>
      <c r="G109" s="3">
        <v>13304700.49</v>
      </c>
      <c r="H109" s="4">
        <v>2871292.38</v>
      </c>
      <c r="I109" s="3">
        <v>5487148.1900000004</v>
      </c>
      <c r="J109" s="3">
        <v>599527.11</v>
      </c>
      <c r="K109" s="4">
        <v>1425516.55</v>
      </c>
      <c r="L109" s="3">
        <v>192041.44</v>
      </c>
      <c r="M109" s="3">
        <v>630516.15</v>
      </c>
      <c r="N109" s="3">
        <v>10154.69</v>
      </c>
      <c r="O109" s="34">
        <v>1626770.26</v>
      </c>
      <c r="P109" s="34">
        <v>2366880.31</v>
      </c>
      <c r="Q109" s="34" t="s">
        <v>25</v>
      </c>
      <c r="R109" s="4">
        <v>2694637.84</v>
      </c>
      <c r="S109" s="3">
        <v>59542040.57</v>
      </c>
      <c r="T109" s="4">
        <v>2229236.5699999998</v>
      </c>
      <c r="U109" s="4">
        <v>166950</v>
      </c>
      <c r="V109" s="4">
        <v>0</v>
      </c>
      <c r="W109" s="23">
        <v>0.8</v>
      </c>
      <c r="X109" s="34"/>
      <c r="Y109" s="3">
        <v>104425214.44</v>
      </c>
    </row>
    <row r="110" spans="1:25" x14ac:dyDescent="0.3">
      <c r="A110" s="7">
        <v>28126</v>
      </c>
      <c r="B110" s="2">
        <f t="shared" si="1"/>
        <v>6210</v>
      </c>
      <c r="C110" s="3">
        <f>1439550.84+32652.08</f>
        <v>1472202.9200000002</v>
      </c>
      <c r="D110" s="3">
        <v>21472124.32</v>
      </c>
      <c r="E110" s="3">
        <v>777088.34</v>
      </c>
      <c r="F110" s="4">
        <v>3006193.68</v>
      </c>
      <c r="G110" s="3">
        <v>13750288.02</v>
      </c>
      <c r="H110" s="4">
        <v>2917434.98</v>
      </c>
      <c r="I110" s="3">
        <v>5487146.0899999999</v>
      </c>
      <c r="J110" s="3">
        <v>568806.37</v>
      </c>
      <c r="K110" s="4">
        <v>1911842.16</v>
      </c>
      <c r="L110" s="3">
        <v>161572.26999999999</v>
      </c>
      <c r="M110" s="3">
        <v>676506.48</v>
      </c>
      <c r="N110" s="3">
        <v>39565.19</v>
      </c>
      <c r="O110" s="34">
        <v>1914529.88</v>
      </c>
      <c r="P110" s="34">
        <v>2702190.39</v>
      </c>
      <c r="Q110" s="34" t="s">
        <v>25</v>
      </c>
      <c r="R110" s="4">
        <v>3138288.7</v>
      </c>
      <c r="S110" s="3">
        <v>74005256.609999999</v>
      </c>
      <c r="T110" s="4">
        <v>2706492.93</v>
      </c>
      <c r="U110" s="4">
        <v>147764.54</v>
      </c>
      <c r="V110" s="4">
        <v>0</v>
      </c>
      <c r="W110" s="23">
        <v>4.53</v>
      </c>
      <c r="X110" s="34"/>
      <c r="Y110" s="3">
        <v>136707533.86000001</v>
      </c>
    </row>
    <row r="111" spans="1:25" x14ac:dyDescent="0.3">
      <c r="A111" s="7">
        <v>28157</v>
      </c>
      <c r="B111" s="2">
        <f t="shared" si="1"/>
        <v>6241</v>
      </c>
      <c r="C111" s="3">
        <f>1087592.33+31423.95</f>
        <v>1119016.28</v>
      </c>
      <c r="D111" s="3">
        <v>6377534.1399999997</v>
      </c>
      <c r="E111" s="3">
        <v>1039468.12</v>
      </c>
      <c r="F111" s="4">
        <v>4433037.78</v>
      </c>
      <c r="G111" s="3">
        <v>12431600.800000001</v>
      </c>
      <c r="H111" s="4">
        <v>2619872.7799999998</v>
      </c>
      <c r="I111" s="3">
        <v>5236358.7300000004</v>
      </c>
      <c r="J111" s="3">
        <v>616477.65</v>
      </c>
      <c r="K111" s="4">
        <v>13275122.609999999</v>
      </c>
      <c r="L111" s="3">
        <v>276848.55</v>
      </c>
      <c r="M111" s="3">
        <v>619342.41</v>
      </c>
      <c r="N111" s="3">
        <v>133260.57999999999</v>
      </c>
      <c r="O111" s="34">
        <v>1498254.91</v>
      </c>
      <c r="P111" s="34">
        <v>2653530.66</v>
      </c>
      <c r="Q111" s="34" t="s">
        <v>25</v>
      </c>
      <c r="R111" s="4">
        <v>1758970.31</v>
      </c>
      <c r="S111" s="3">
        <v>49243546.039999999</v>
      </c>
      <c r="T111" s="4">
        <v>1541391.25</v>
      </c>
      <c r="U111" s="4">
        <v>103954.99</v>
      </c>
      <c r="V111" s="4">
        <v>0</v>
      </c>
      <c r="W111" s="23">
        <v>18.02</v>
      </c>
      <c r="X111" s="34"/>
      <c r="Y111" s="3">
        <v>104873651.62</v>
      </c>
    </row>
    <row r="112" spans="1:25" x14ac:dyDescent="0.3">
      <c r="A112" s="7">
        <v>28185</v>
      </c>
      <c r="B112" s="2">
        <f t="shared" si="1"/>
        <v>6269</v>
      </c>
      <c r="C112" s="3">
        <f>7778966.1+136178.26</f>
        <v>7915144.3599999994</v>
      </c>
      <c r="D112" s="3">
        <v>17185721.690000001</v>
      </c>
      <c r="E112" s="3">
        <v>2616372.38</v>
      </c>
      <c r="F112" s="4">
        <v>3542941.36</v>
      </c>
      <c r="G112" s="3">
        <v>12493845.26</v>
      </c>
      <c r="H112" s="4">
        <v>2886760.35</v>
      </c>
      <c r="I112" s="3">
        <v>5624515.1399999997</v>
      </c>
      <c r="J112" s="3">
        <v>673498.9</v>
      </c>
      <c r="K112" s="4">
        <v>30598727.649999999</v>
      </c>
      <c r="L112" s="3">
        <v>461939.82</v>
      </c>
      <c r="M112" s="3">
        <v>652267.92000000004</v>
      </c>
      <c r="N112" s="3">
        <v>211400.31</v>
      </c>
      <c r="O112" s="34">
        <v>1556197.11</v>
      </c>
      <c r="P112" s="34">
        <v>2480375.71</v>
      </c>
      <c r="Q112" s="34" t="s">
        <v>25</v>
      </c>
      <c r="R112" s="4">
        <v>1882533.88</v>
      </c>
      <c r="S112" s="3">
        <v>55086206.030000001</v>
      </c>
      <c r="T112" s="4">
        <v>2025818.17</v>
      </c>
      <c r="U112" s="4">
        <v>149006.04</v>
      </c>
      <c r="V112" s="4">
        <v>0</v>
      </c>
      <c r="W112" s="23">
        <v>65.41</v>
      </c>
      <c r="X112" s="34"/>
      <c r="Y112" s="3">
        <v>147894331.44999999</v>
      </c>
    </row>
    <row r="113" spans="1:25" x14ac:dyDescent="0.3">
      <c r="A113" s="7">
        <v>28216</v>
      </c>
      <c r="B113" s="2">
        <f t="shared" si="1"/>
        <v>6300</v>
      </c>
      <c r="C113" s="3">
        <f>9818386.65+121040.51</f>
        <v>9939427.1600000001</v>
      </c>
      <c r="D113" s="3">
        <v>34781213.93</v>
      </c>
      <c r="E113" s="3">
        <v>15401485.74</v>
      </c>
      <c r="F113" s="4">
        <v>7487179.5599999996</v>
      </c>
      <c r="G113" s="3">
        <v>13536234.619999999</v>
      </c>
      <c r="H113" s="4">
        <v>2688657.16</v>
      </c>
      <c r="I113" s="3">
        <v>5517083.3399999999</v>
      </c>
      <c r="J113" s="3">
        <v>940614</v>
      </c>
      <c r="K113" s="4">
        <v>18524817.960000001</v>
      </c>
      <c r="L113" s="3">
        <v>335838.7</v>
      </c>
      <c r="M113" s="3">
        <v>742174.66</v>
      </c>
      <c r="N113" s="3">
        <v>165146.21</v>
      </c>
      <c r="O113" s="34">
        <v>2125741.29</v>
      </c>
      <c r="P113" s="34">
        <v>2566821.46</v>
      </c>
      <c r="Q113" s="34" t="s">
        <v>25</v>
      </c>
      <c r="R113" s="4">
        <v>2236104.67</v>
      </c>
      <c r="S113" s="3">
        <v>63376099.170000002</v>
      </c>
      <c r="T113" s="4">
        <v>3059383.51</v>
      </c>
      <c r="U113" s="4">
        <v>225829.9</v>
      </c>
      <c r="V113" s="4">
        <v>0</v>
      </c>
      <c r="W113" s="23">
        <v>0</v>
      </c>
      <c r="X113" s="34"/>
      <c r="Y113" s="3">
        <v>183424023.13999999</v>
      </c>
    </row>
    <row r="114" spans="1:25" x14ac:dyDescent="0.3">
      <c r="A114" s="7">
        <v>28246</v>
      </c>
      <c r="B114" s="2">
        <f t="shared" si="1"/>
        <v>6330</v>
      </c>
      <c r="C114" s="3">
        <f>832996.63+27679.2</f>
        <v>860675.83</v>
      </c>
      <c r="D114" s="3">
        <v>5217690.8600000003</v>
      </c>
      <c r="E114" s="3">
        <v>304843.5</v>
      </c>
      <c r="F114" s="4">
        <v>3344851.77</v>
      </c>
      <c r="G114" s="3">
        <v>14440902.57</v>
      </c>
      <c r="H114" s="4">
        <v>2957850.22</v>
      </c>
      <c r="I114" s="3">
        <v>5999550.0300000003</v>
      </c>
      <c r="J114" s="3">
        <v>920865.08</v>
      </c>
      <c r="K114" s="4">
        <v>9471173.1799999997</v>
      </c>
      <c r="L114" s="3">
        <v>273705.62</v>
      </c>
      <c r="M114" s="3">
        <v>733605.31</v>
      </c>
      <c r="N114" s="3">
        <v>34868.239999999998</v>
      </c>
      <c r="O114" s="34">
        <v>1964274.11</v>
      </c>
      <c r="P114" s="34">
        <v>2646217.31</v>
      </c>
      <c r="Q114" s="34" t="s">
        <v>25</v>
      </c>
      <c r="R114" s="4">
        <v>2012149.18</v>
      </c>
      <c r="S114" s="3">
        <v>67137665.519999996</v>
      </c>
      <c r="T114" s="4">
        <v>1625817</v>
      </c>
      <c r="U114" s="4">
        <v>153568.23000000001</v>
      </c>
      <c r="V114" s="4">
        <v>0</v>
      </c>
      <c r="W114" s="23">
        <v>1.42</v>
      </c>
      <c r="X114" s="34"/>
      <c r="Y114" s="3">
        <v>119946706.75</v>
      </c>
    </row>
    <row r="115" spans="1:25" x14ac:dyDescent="0.3">
      <c r="A115" s="7">
        <v>28277</v>
      </c>
      <c r="B115" s="2">
        <f t="shared" si="1"/>
        <v>6361</v>
      </c>
      <c r="C115" s="3">
        <f>2824291.65+70621.22</f>
        <v>2894912.87</v>
      </c>
      <c r="D115" s="3">
        <v>7378533.7999999998</v>
      </c>
      <c r="E115" s="3">
        <v>458503.85</v>
      </c>
      <c r="F115" s="4">
        <v>2846043.83</v>
      </c>
      <c r="G115" s="3">
        <v>14343671.73</v>
      </c>
      <c r="H115" s="4">
        <v>2899579.09</v>
      </c>
      <c r="I115" s="3">
        <v>6180262.1900000004</v>
      </c>
      <c r="J115" s="3">
        <v>696991.12</v>
      </c>
      <c r="K115" s="4">
        <v>3084870.43</v>
      </c>
      <c r="L115" s="3">
        <v>264811.46000000002</v>
      </c>
      <c r="M115" s="3">
        <v>794861.6</v>
      </c>
      <c r="N115" s="3">
        <v>2878734.53</v>
      </c>
      <c r="O115" s="34">
        <v>2170584.41</v>
      </c>
      <c r="P115" s="34">
        <v>2484221.0299999998</v>
      </c>
      <c r="Q115" s="34" t="s">
        <v>25</v>
      </c>
      <c r="R115" s="4">
        <v>2028203.14</v>
      </c>
      <c r="S115" s="3">
        <v>64881340.630000003</v>
      </c>
      <c r="T115" s="4">
        <v>2345538.4300000002</v>
      </c>
      <c r="U115" s="4">
        <v>158257.67000000001</v>
      </c>
      <c r="V115" s="4">
        <v>0</v>
      </c>
      <c r="W115" s="23">
        <v>64.180000000000007</v>
      </c>
      <c r="X115" s="34"/>
      <c r="Y115" s="3">
        <v>118631728.31999999</v>
      </c>
    </row>
    <row r="116" spans="1:25" x14ac:dyDescent="0.3">
      <c r="A116" s="7">
        <v>28307</v>
      </c>
      <c r="B116" s="2">
        <f t="shared" si="1"/>
        <v>6391</v>
      </c>
      <c r="C116" s="3">
        <f>1239685.32+35483.3</f>
        <v>1275168.6200000001</v>
      </c>
      <c r="D116" s="3">
        <v>24108916.5</v>
      </c>
      <c r="E116" s="3">
        <v>188945.06</v>
      </c>
      <c r="F116" s="4">
        <v>2510926.89</v>
      </c>
      <c r="G116" s="3">
        <v>15116726.08</v>
      </c>
      <c r="H116" s="4">
        <v>2914096.13</v>
      </c>
      <c r="I116" s="3">
        <v>5786273.6799999997</v>
      </c>
      <c r="J116" s="3">
        <v>956976.92</v>
      </c>
      <c r="K116" s="4">
        <v>2171801.25</v>
      </c>
      <c r="L116" s="3">
        <v>226553.88</v>
      </c>
      <c r="M116" s="3">
        <v>744464.04</v>
      </c>
      <c r="N116" s="3">
        <v>125551.36</v>
      </c>
      <c r="O116" s="34">
        <v>2348605.85</v>
      </c>
      <c r="P116" s="34">
        <v>4197809.29</v>
      </c>
      <c r="Q116" s="34" t="s">
        <v>25</v>
      </c>
      <c r="R116" s="4">
        <v>2122903.4700000002</v>
      </c>
      <c r="S116" s="3">
        <v>66155314.789999999</v>
      </c>
      <c r="T116" s="4">
        <v>2803148.5</v>
      </c>
      <c r="U116" s="4">
        <v>183453.35</v>
      </c>
      <c r="V116" s="4">
        <v>0</v>
      </c>
      <c r="W116" s="23">
        <v>6.99</v>
      </c>
      <c r="X116" s="34"/>
      <c r="Y116" s="3">
        <v>133754189.3</v>
      </c>
    </row>
    <row r="117" spans="1:25" x14ac:dyDescent="0.3">
      <c r="A117" s="7">
        <v>28338</v>
      </c>
      <c r="B117" s="2">
        <f t="shared" si="1"/>
        <v>6422</v>
      </c>
      <c r="C117" s="3">
        <f>1261109.16+30572.54</f>
        <v>1291681.7</v>
      </c>
      <c r="D117" s="3">
        <v>6258903.0899999999</v>
      </c>
      <c r="E117" s="3">
        <v>293545.8</v>
      </c>
      <c r="F117" s="4">
        <v>3157868.02</v>
      </c>
      <c r="G117" s="3">
        <v>14943267.220000001</v>
      </c>
      <c r="H117" s="4">
        <v>3447137.81</v>
      </c>
      <c r="I117" s="3">
        <v>6527154.3499999996</v>
      </c>
      <c r="J117" s="3">
        <v>796232.26</v>
      </c>
      <c r="K117" s="4">
        <v>2673362.88</v>
      </c>
      <c r="L117" s="3">
        <v>253802.02</v>
      </c>
      <c r="M117" s="3">
        <v>814119.45</v>
      </c>
      <c r="N117" s="3">
        <v>42788.24</v>
      </c>
      <c r="O117" s="34">
        <v>2378860.63</v>
      </c>
      <c r="P117" s="34">
        <v>13024749.73</v>
      </c>
      <c r="Q117" s="34" t="s">
        <v>25</v>
      </c>
      <c r="R117" s="4">
        <v>1788426.69</v>
      </c>
      <c r="S117" s="3">
        <v>70301151.189999998</v>
      </c>
      <c r="T117" s="4">
        <v>1818570.14</v>
      </c>
      <c r="U117" s="4">
        <v>160595.6</v>
      </c>
      <c r="V117" s="4">
        <v>0</v>
      </c>
      <c r="W117" s="23">
        <v>0</v>
      </c>
      <c r="X117" s="34"/>
      <c r="Y117" s="3">
        <v>129811621.22</v>
      </c>
    </row>
    <row r="118" spans="1:25" x14ac:dyDescent="0.3">
      <c r="A118" s="7">
        <v>28369</v>
      </c>
      <c r="B118" s="2">
        <f t="shared" si="1"/>
        <v>6453</v>
      </c>
      <c r="C118" s="3">
        <f>1927028.3+52127.02</f>
        <v>1979155.32</v>
      </c>
      <c r="D118" s="3">
        <v>7869372.2300000004</v>
      </c>
      <c r="E118" s="3">
        <v>131681.97</v>
      </c>
      <c r="F118" s="4">
        <v>2741538.72</v>
      </c>
      <c r="G118" s="3">
        <v>15764013.710000001</v>
      </c>
      <c r="H118" s="4">
        <v>3069313.12</v>
      </c>
      <c r="I118" s="3">
        <v>5860509.8200000003</v>
      </c>
      <c r="J118" s="8">
        <v>700857.83</v>
      </c>
      <c r="K118" s="4">
        <v>3526808.35</v>
      </c>
      <c r="L118" s="3">
        <v>231615.66</v>
      </c>
      <c r="M118" s="3">
        <v>812709.22</v>
      </c>
      <c r="N118" s="3">
        <v>36542.879999999997</v>
      </c>
      <c r="O118" s="34">
        <v>2356722.15</v>
      </c>
      <c r="P118" s="34">
        <v>19632292.739999998</v>
      </c>
      <c r="Q118" s="34" t="s">
        <v>25</v>
      </c>
      <c r="R118" s="4">
        <v>2117253.7200000002</v>
      </c>
      <c r="S118" s="3">
        <v>70026531.230000004</v>
      </c>
      <c r="T118" s="4">
        <v>2503176.66</v>
      </c>
      <c r="U118" s="4">
        <v>194058.48</v>
      </c>
      <c r="V118" s="4">
        <v>0</v>
      </c>
      <c r="W118" s="23">
        <v>0</v>
      </c>
      <c r="X118" s="34"/>
      <c r="Y118" s="3">
        <v>139360095.33000001</v>
      </c>
    </row>
    <row r="119" spans="1:25" x14ac:dyDescent="0.3">
      <c r="A119" s="7">
        <v>28399</v>
      </c>
      <c r="B119" s="2">
        <f t="shared" si="1"/>
        <v>6483</v>
      </c>
      <c r="C119" s="3">
        <f>3194666.36+40133.81</f>
        <v>3234800.17</v>
      </c>
      <c r="D119" s="3">
        <v>26243905.719999999</v>
      </c>
      <c r="E119" s="3">
        <v>287582.15999999997</v>
      </c>
      <c r="F119" s="4">
        <v>4016140.47</v>
      </c>
      <c r="G119" s="3">
        <v>14105704.4</v>
      </c>
      <c r="H119" s="4">
        <v>2876637.18</v>
      </c>
      <c r="I119" s="3">
        <v>5583466.6200000001</v>
      </c>
      <c r="J119" s="3">
        <v>738125.42</v>
      </c>
      <c r="K119" s="4">
        <v>4231695.37</v>
      </c>
      <c r="L119" s="3">
        <v>222368.35</v>
      </c>
      <c r="M119" s="3">
        <v>769819.48</v>
      </c>
      <c r="N119" s="3">
        <v>24838.31</v>
      </c>
      <c r="O119" s="34">
        <v>2205785.29</v>
      </c>
      <c r="P119" s="34">
        <v>3908045.52</v>
      </c>
      <c r="Q119" s="34" t="s">
        <v>25</v>
      </c>
      <c r="R119" s="4">
        <v>2048396.88</v>
      </c>
      <c r="S119" s="3">
        <v>67966928.700000003</v>
      </c>
      <c r="T119" s="4">
        <v>2818004.23</v>
      </c>
      <c r="U119" s="4">
        <v>190633.21</v>
      </c>
      <c r="V119" s="4">
        <v>0</v>
      </c>
      <c r="W119" s="23">
        <v>8.49</v>
      </c>
      <c r="X119" s="34"/>
      <c r="Y119" s="3">
        <v>141282252.75999999</v>
      </c>
    </row>
    <row r="120" spans="1:25" x14ac:dyDescent="0.3">
      <c r="A120" s="7">
        <v>28430</v>
      </c>
      <c r="B120" s="2">
        <f t="shared" si="1"/>
        <v>6514</v>
      </c>
      <c r="C120" s="3">
        <f>1084054.51+22831.88</f>
        <v>1106886.3899999999</v>
      </c>
      <c r="D120" s="3">
        <v>4617755.62</v>
      </c>
      <c r="E120" s="3">
        <v>94784.5</v>
      </c>
      <c r="F120" s="4">
        <v>22837502.84</v>
      </c>
      <c r="G120" s="3">
        <v>13584846.49</v>
      </c>
      <c r="H120" s="4">
        <v>2652235.98</v>
      </c>
      <c r="I120" s="3">
        <v>5816862.21</v>
      </c>
      <c r="J120" s="3">
        <v>686589.09</v>
      </c>
      <c r="K120" s="4">
        <v>4788552.13</v>
      </c>
      <c r="L120" s="3">
        <v>243218.6</v>
      </c>
      <c r="M120" s="3">
        <v>815350</v>
      </c>
      <c r="N120" s="3">
        <v>17257.68</v>
      </c>
      <c r="O120" s="34">
        <v>2210632</v>
      </c>
      <c r="P120" s="34">
        <v>3663198.63</v>
      </c>
      <c r="Q120" s="34" t="s">
        <v>25</v>
      </c>
      <c r="R120" s="4">
        <v>2407317.9900000002</v>
      </c>
      <c r="S120" s="3">
        <v>68133234.560000002</v>
      </c>
      <c r="T120" s="4">
        <v>2189150.12</v>
      </c>
      <c r="U120" s="4">
        <v>206126.91</v>
      </c>
      <c r="V120" s="4">
        <v>0</v>
      </c>
      <c r="W120" s="23">
        <v>0</v>
      </c>
      <c r="X120" s="34"/>
      <c r="Y120" s="3">
        <v>135865374.83000001</v>
      </c>
    </row>
    <row r="121" spans="1:25" x14ac:dyDescent="0.3">
      <c r="A121" s="7">
        <v>28460</v>
      </c>
      <c r="B121" s="2">
        <f t="shared" si="1"/>
        <v>6544</v>
      </c>
      <c r="C121" s="3">
        <f>1631394.66+37238.17</f>
        <v>1668632.8299999998</v>
      </c>
      <c r="D121" s="3">
        <v>7374185.8899999997</v>
      </c>
      <c r="E121" s="3">
        <v>527493.64</v>
      </c>
      <c r="F121" s="4">
        <v>4504324.8899999997</v>
      </c>
      <c r="G121" s="3">
        <v>13938384.67</v>
      </c>
      <c r="H121" s="4">
        <v>3060215.35</v>
      </c>
      <c r="I121" s="3">
        <v>5703697.3099999996</v>
      </c>
      <c r="J121" s="3">
        <v>723168.65</v>
      </c>
      <c r="K121" s="4">
        <v>3699898.75</v>
      </c>
      <c r="L121" s="3">
        <v>210919.6</v>
      </c>
      <c r="M121" s="3">
        <v>775124.62</v>
      </c>
      <c r="N121" s="3">
        <v>13413.38</v>
      </c>
      <c r="O121" s="34">
        <v>2121245.63</v>
      </c>
      <c r="P121" s="34">
        <v>3514110.3</v>
      </c>
      <c r="Q121" s="34" t="s">
        <v>25</v>
      </c>
      <c r="R121" s="4">
        <v>2662668.35</v>
      </c>
      <c r="S121" s="3">
        <v>67753609.510000005</v>
      </c>
      <c r="T121" s="4">
        <v>2495381.67</v>
      </c>
      <c r="U121" s="4">
        <v>168793.35</v>
      </c>
      <c r="V121" s="4">
        <v>0</v>
      </c>
      <c r="W121" s="23">
        <v>5.27</v>
      </c>
      <c r="X121" s="34"/>
      <c r="Y121" s="3">
        <v>120746480.31</v>
      </c>
    </row>
    <row r="122" spans="1:25" x14ac:dyDescent="0.3">
      <c r="A122" s="7">
        <v>28491</v>
      </c>
      <c r="B122" s="2">
        <f t="shared" si="1"/>
        <v>6575</v>
      </c>
      <c r="C122" s="3">
        <f>1363953.98+34838.54</f>
        <v>1398792.52</v>
      </c>
      <c r="D122" s="3">
        <v>22459355.829999998</v>
      </c>
      <c r="E122" s="3">
        <v>674898.38</v>
      </c>
      <c r="F122" s="4">
        <v>2689671.11</v>
      </c>
      <c r="G122" s="3">
        <v>14812915.630000001</v>
      </c>
      <c r="H122" s="4">
        <v>3009513.26</v>
      </c>
      <c r="I122" s="3">
        <v>5660489.9800000004</v>
      </c>
      <c r="J122" s="3">
        <v>588337.48</v>
      </c>
      <c r="K122" s="4">
        <v>4234339.9800000004</v>
      </c>
      <c r="L122" s="3">
        <v>188233.17</v>
      </c>
      <c r="M122" s="3">
        <v>852255.47</v>
      </c>
      <c r="N122" s="3">
        <v>198048.44</v>
      </c>
      <c r="O122" s="34">
        <v>2075571.37</v>
      </c>
      <c r="P122" s="34">
        <v>3665986.51</v>
      </c>
      <c r="Q122" s="34" t="s">
        <v>25</v>
      </c>
      <c r="R122" s="4">
        <v>3200073.21</v>
      </c>
      <c r="S122" s="3">
        <v>83677821.829999998</v>
      </c>
      <c r="T122" s="4">
        <v>2427480.73</v>
      </c>
      <c r="U122" s="4">
        <v>115740.45</v>
      </c>
      <c r="V122" s="4">
        <v>0</v>
      </c>
      <c r="W122" s="23">
        <v>0</v>
      </c>
      <c r="X122" s="34"/>
      <c r="Y122" s="3">
        <v>151813784.90000001</v>
      </c>
    </row>
    <row r="123" spans="1:25" x14ac:dyDescent="0.3">
      <c r="A123" s="7">
        <v>28522</v>
      </c>
      <c r="B123" s="2">
        <f t="shared" si="1"/>
        <v>6606</v>
      </c>
      <c r="C123" s="3">
        <f>1336777.18+28432.04</f>
        <v>1365209.22</v>
      </c>
      <c r="D123" s="3">
        <v>5589994.3600000003</v>
      </c>
      <c r="E123" s="3">
        <v>1201304.4099999999</v>
      </c>
      <c r="F123" s="4">
        <v>2187164.87</v>
      </c>
      <c r="G123" s="3">
        <v>14169427.539999999</v>
      </c>
      <c r="H123" s="4">
        <v>2773093.04</v>
      </c>
      <c r="I123" s="3">
        <v>5332165.93</v>
      </c>
      <c r="J123" s="3">
        <v>640713.72</v>
      </c>
      <c r="K123" s="4">
        <v>6205791.7699999996</v>
      </c>
      <c r="L123" s="3">
        <v>214115.73</v>
      </c>
      <c r="M123" s="3">
        <v>685789.07</v>
      </c>
      <c r="N123" s="3">
        <v>137513.72</v>
      </c>
      <c r="O123" s="34">
        <v>1745684.46</v>
      </c>
      <c r="P123" s="34">
        <v>3832041.92</v>
      </c>
      <c r="Q123" s="34" t="s">
        <v>25</v>
      </c>
      <c r="R123" s="4">
        <v>2097943</v>
      </c>
      <c r="S123" s="3">
        <v>55195363.780000001</v>
      </c>
      <c r="T123" s="4">
        <v>2008229.96</v>
      </c>
      <c r="U123" s="4">
        <v>96939.9</v>
      </c>
      <c r="V123" s="4">
        <v>0</v>
      </c>
      <c r="W123" s="23">
        <v>5.71</v>
      </c>
      <c r="X123" s="34"/>
      <c r="Y123" s="3">
        <v>105381552.20999999</v>
      </c>
    </row>
    <row r="124" spans="1:25" x14ac:dyDescent="0.3">
      <c r="A124" s="7">
        <v>28550</v>
      </c>
      <c r="B124" s="2">
        <f t="shared" si="1"/>
        <v>6634</v>
      </c>
      <c r="C124" s="3">
        <f>10210798.57+154181.07</f>
        <v>10364979.640000001</v>
      </c>
      <c r="D124" s="3">
        <v>15742332.16</v>
      </c>
      <c r="E124" s="3">
        <v>3023050.53</v>
      </c>
      <c r="F124" s="4">
        <v>3398900.97</v>
      </c>
      <c r="G124" s="3">
        <v>11896534.529999999</v>
      </c>
      <c r="H124" s="4">
        <v>2533823.94</v>
      </c>
      <c r="I124" s="3">
        <v>5821961.4299999997</v>
      </c>
      <c r="J124" s="3">
        <v>763799.1</v>
      </c>
      <c r="K124" s="4">
        <v>10237896.380000001</v>
      </c>
      <c r="L124" s="3">
        <v>312933.48</v>
      </c>
      <c r="M124" s="3">
        <v>787199.64</v>
      </c>
      <c r="N124" s="3">
        <v>47909.89</v>
      </c>
      <c r="O124" s="34">
        <v>1704226.46</v>
      </c>
      <c r="P124" s="34">
        <v>3532710.56</v>
      </c>
      <c r="Q124" s="34" t="s">
        <v>25</v>
      </c>
      <c r="R124" s="4">
        <v>1920290</v>
      </c>
      <c r="S124" s="3">
        <v>59691959.909999996</v>
      </c>
      <c r="T124" s="4">
        <v>2092497.86</v>
      </c>
      <c r="U124" s="4">
        <v>161816.04999999999</v>
      </c>
      <c r="V124" s="4">
        <v>0</v>
      </c>
      <c r="W124" s="23">
        <v>117.32</v>
      </c>
      <c r="X124" s="34"/>
      <c r="Y124" s="3">
        <v>133873123.8</v>
      </c>
    </row>
    <row r="125" spans="1:25" x14ac:dyDescent="0.3">
      <c r="A125" s="7">
        <v>28581</v>
      </c>
      <c r="B125" s="2">
        <f t="shared" si="1"/>
        <v>6665</v>
      </c>
      <c r="C125" s="3">
        <f>11609378.9+111188.72</f>
        <v>11720567.620000001</v>
      </c>
      <c r="D125" s="3">
        <v>36655937.380000003</v>
      </c>
      <c r="E125" s="3">
        <v>17541470.449999999</v>
      </c>
      <c r="F125" s="4">
        <v>3457248.79</v>
      </c>
      <c r="G125" s="3">
        <v>12475575</v>
      </c>
      <c r="H125" s="4">
        <v>2708327.83</v>
      </c>
      <c r="I125" s="3">
        <v>5558874.2699999996</v>
      </c>
      <c r="J125" s="3">
        <v>767404.53</v>
      </c>
      <c r="K125" s="4">
        <v>21169899.489999998</v>
      </c>
      <c r="L125" s="3">
        <v>338882.91</v>
      </c>
      <c r="M125" s="3">
        <v>882271.84</v>
      </c>
      <c r="N125" s="3">
        <v>119705.13</v>
      </c>
      <c r="O125" s="34">
        <v>2224272.96</v>
      </c>
      <c r="P125" s="34">
        <v>3788355.63</v>
      </c>
      <c r="Q125" s="34" t="s">
        <v>25</v>
      </c>
      <c r="R125" s="4">
        <v>2356384.2000000002</v>
      </c>
      <c r="S125" s="3">
        <v>72751491.609999999</v>
      </c>
      <c r="T125" s="4">
        <v>3052745.53</v>
      </c>
      <c r="U125" s="4">
        <v>205655.2</v>
      </c>
      <c r="V125" s="4">
        <v>0</v>
      </c>
      <c r="W125" s="23">
        <v>10.83</v>
      </c>
      <c r="X125" s="34"/>
      <c r="Y125" s="3">
        <v>197569426</v>
      </c>
    </row>
    <row r="126" spans="1:25" x14ac:dyDescent="0.3">
      <c r="A126" s="7">
        <v>28611</v>
      </c>
      <c r="B126" s="2">
        <f t="shared" si="1"/>
        <v>6695</v>
      </c>
      <c r="C126" s="3">
        <f>1455154.04+28197.38</f>
        <v>1483351.42</v>
      </c>
      <c r="D126" s="3">
        <v>6400042.29</v>
      </c>
      <c r="E126" s="3">
        <v>319250.83</v>
      </c>
      <c r="F126" s="4">
        <v>3833373.8</v>
      </c>
      <c r="G126" s="3">
        <v>15392789.49</v>
      </c>
      <c r="H126" s="4">
        <v>3097144.17</v>
      </c>
      <c r="I126" s="3">
        <v>6484611.8399999999</v>
      </c>
      <c r="J126" s="3">
        <v>921874.65</v>
      </c>
      <c r="K126" s="4">
        <v>13055321.59</v>
      </c>
      <c r="L126" s="3">
        <v>318322.03000000003</v>
      </c>
      <c r="M126" s="3">
        <v>868780.49</v>
      </c>
      <c r="N126" s="3">
        <v>60466.41</v>
      </c>
      <c r="O126" s="34">
        <v>2219504.56</v>
      </c>
      <c r="P126" s="34">
        <v>3775611.46</v>
      </c>
      <c r="Q126" s="34" t="s">
        <v>25</v>
      </c>
      <c r="R126" s="4">
        <v>2029402.55</v>
      </c>
      <c r="S126" s="3">
        <v>73984677.819999993</v>
      </c>
      <c r="T126" s="4">
        <v>2635132.81</v>
      </c>
      <c r="U126" s="4">
        <v>205287.38</v>
      </c>
      <c r="V126" s="4">
        <v>0</v>
      </c>
      <c r="W126" s="23">
        <v>20.03</v>
      </c>
      <c r="X126" s="34"/>
      <c r="Y126" s="3">
        <v>136879678.24000001</v>
      </c>
    </row>
    <row r="127" spans="1:25" x14ac:dyDescent="0.3">
      <c r="A127" s="7">
        <v>28642</v>
      </c>
      <c r="B127" s="2">
        <f t="shared" si="1"/>
        <v>6726</v>
      </c>
      <c r="C127" s="3">
        <f>1434744.77+40739.97</f>
        <v>1475484.74</v>
      </c>
      <c r="D127" s="3">
        <v>7527465.5099999998</v>
      </c>
      <c r="E127" s="3">
        <v>572750.28</v>
      </c>
      <c r="F127" s="4">
        <v>2253485.91</v>
      </c>
      <c r="G127" s="3">
        <v>15856418.65</v>
      </c>
      <c r="H127" s="4">
        <v>3273254.18</v>
      </c>
      <c r="I127" s="3">
        <v>6631087.6699999999</v>
      </c>
      <c r="J127" s="3">
        <v>863001.35</v>
      </c>
      <c r="K127" s="4">
        <v>8305915.3600000003</v>
      </c>
      <c r="L127" s="3">
        <v>329505.21999999997</v>
      </c>
      <c r="M127" s="3">
        <v>914027.89</v>
      </c>
      <c r="N127" s="3">
        <v>3079357.33</v>
      </c>
      <c r="O127" s="34">
        <v>2515276.4900000002</v>
      </c>
      <c r="P127" s="34">
        <v>3494898.46</v>
      </c>
      <c r="Q127" s="34" t="s">
        <v>25</v>
      </c>
      <c r="R127" s="4">
        <v>2232661.34</v>
      </c>
      <c r="S127" s="3">
        <v>75690120.489999995</v>
      </c>
      <c r="T127" s="4">
        <v>1903978.87</v>
      </c>
      <c r="U127" s="4">
        <v>200606.15</v>
      </c>
      <c r="V127" s="4">
        <v>0</v>
      </c>
      <c r="W127" s="23">
        <v>0.34</v>
      </c>
      <c r="X127" s="34"/>
      <c r="Y127" s="3">
        <v>136918690.08000001</v>
      </c>
    </row>
    <row r="128" spans="1:25" x14ac:dyDescent="0.3">
      <c r="A128" s="7">
        <v>28672</v>
      </c>
      <c r="B128" s="2">
        <f t="shared" si="1"/>
        <v>6756</v>
      </c>
      <c r="C128" s="3">
        <f>1477123.51+32460.12</f>
        <v>1509583.6300000001</v>
      </c>
      <c r="D128" s="3">
        <v>26012651.280000001</v>
      </c>
      <c r="E128" s="3">
        <v>192490.92</v>
      </c>
      <c r="F128" s="4">
        <v>3062337.18</v>
      </c>
      <c r="G128" s="3">
        <v>15462742.43</v>
      </c>
      <c r="H128" s="4">
        <v>3061969.5</v>
      </c>
      <c r="I128" s="3">
        <v>5963319.2699999996</v>
      </c>
      <c r="J128" s="3">
        <v>790805.34</v>
      </c>
      <c r="K128" s="4">
        <v>4548139.0199999996</v>
      </c>
      <c r="L128" s="3">
        <v>268049.13</v>
      </c>
      <c r="M128" s="3">
        <v>879308.82</v>
      </c>
      <c r="N128" s="3">
        <v>126918.26</v>
      </c>
      <c r="O128" s="34">
        <v>2680686.85</v>
      </c>
      <c r="P128" s="34">
        <v>6061933.5800000001</v>
      </c>
      <c r="Q128" s="34" t="s">
        <v>25</v>
      </c>
      <c r="R128" s="4">
        <v>2109511.4900000002</v>
      </c>
      <c r="S128" s="3">
        <v>80627856.409999996</v>
      </c>
      <c r="T128" s="4">
        <v>3062756.1</v>
      </c>
      <c r="U128" s="4">
        <v>178407.59</v>
      </c>
      <c r="V128" s="4">
        <v>0</v>
      </c>
      <c r="W128" s="23">
        <v>21.2</v>
      </c>
      <c r="X128" s="34"/>
      <c r="Y128" s="3">
        <v>156421080.41</v>
      </c>
    </row>
    <row r="129" spans="1:25" x14ac:dyDescent="0.3">
      <c r="A129" s="7">
        <v>28703</v>
      </c>
      <c r="B129" s="2">
        <f t="shared" si="1"/>
        <v>6787</v>
      </c>
      <c r="C129" s="3">
        <f>1400138.72+25064.6</f>
        <v>1425203.32</v>
      </c>
      <c r="D129" s="3">
        <v>6418641.9699999997</v>
      </c>
      <c r="E129" s="3">
        <v>266117.08</v>
      </c>
      <c r="F129" s="4">
        <v>3281621.07</v>
      </c>
      <c r="G129" s="3">
        <v>15715533.470000001</v>
      </c>
      <c r="H129" s="4">
        <v>3003753.8</v>
      </c>
      <c r="I129" s="3">
        <v>6464508.8600000003</v>
      </c>
      <c r="J129" s="3">
        <v>807117.85</v>
      </c>
      <c r="K129" s="4">
        <v>3396394.64</v>
      </c>
      <c r="L129" s="3">
        <v>281620.3</v>
      </c>
      <c r="M129" s="3">
        <v>874542.21</v>
      </c>
      <c r="N129" s="3">
        <v>64694.49</v>
      </c>
      <c r="O129" s="34">
        <v>2508198.31</v>
      </c>
      <c r="P129" s="34">
        <v>16008968.16</v>
      </c>
      <c r="Q129" s="34" t="s">
        <v>25</v>
      </c>
      <c r="R129" s="4">
        <v>1892376.59</v>
      </c>
      <c r="S129" s="3">
        <v>75742591.200000003</v>
      </c>
      <c r="T129" s="4">
        <v>2015318.8</v>
      </c>
      <c r="U129" s="4">
        <v>168939.82</v>
      </c>
      <c r="V129" s="4">
        <v>0</v>
      </c>
      <c r="W129" s="23">
        <v>0</v>
      </c>
      <c r="X129" s="34"/>
      <c r="Y129" s="3">
        <v>140167202.12</v>
      </c>
    </row>
    <row r="130" spans="1:25" x14ac:dyDescent="0.3">
      <c r="A130" s="7">
        <v>28734</v>
      </c>
      <c r="B130" s="2">
        <f t="shared" ref="B130:B193" si="2">A130-21916</f>
        <v>6818</v>
      </c>
      <c r="C130" s="3">
        <f>2011193.09+42488.69</f>
        <v>2053681.78</v>
      </c>
      <c r="D130" s="3">
        <v>7103261.2199999997</v>
      </c>
      <c r="E130" s="3">
        <v>187552.92</v>
      </c>
      <c r="F130" s="4">
        <v>2808163.15</v>
      </c>
      <c r="G130" s="3">
        <v>14883815.140000001</v>
      </c>
      <c r="H130" s="4">
        <v>2993624.14</v>
      </c>
      <c r="I130" s="3">
        <v>5866704.6600000001</v>
      </c>
      <c r="J130" s="3">
        <v>894556.77</v>
      </c>
      <c r="K130" s="4">
        <v>3425445.23</v>
      </c>
      <c r="L130" s="3">
        <v>242189.82</v>
      </c>
      <c r="M130" s="3">
        <v>861907.91</v>
      </c>
      <c r="N130" s="3">
        <v>61244.67</v>
      </c>
      <c r="O130" s="34">
        <v>2636253.39</v>
      </c>
      <c r="P130" s="34">
        <v>11171133.289999999</v>
      </c>
      <c r="Q130" s="34" t="s">
        <v>25</v>
      </c>
      <c r="R130" s="4">
        <v>2266593.7999999998</v>
      </c>
      <c r="S130" s="3">
        <v>79093879.599999994</v>
      </c>
      <c r="T130" s="4">
        <v>2599631.4</v>
      </c>
      <c r="U130" s="4">
        <v>207149.4</v>
      </c>
      <c r="V130" s="4">
        <v>0</v>
      </c>
      <c r="W130" s="23">
        <v>3.57</v>
      </c>
      <c r="X130" s="34"/>
      <c r="Y130" s="3">
        <v>139149642.46000001</v>
      </c>
    </row>
    <row r="131" spans="1:25" x14ac:dyDescent="0.3">
      <c r="A131" s="7">
        <v>28764</v>
      </c>
      <c r="B131" s="2">
        <f t="shared" si="2"/>
        <v>6848</v>
      </c>
      <c r="C131" s="3">
        <f>2884624.16+40052.27</f>
        <v>2924676.43</v>
      </c>
      <c r="D131" s="3">
        <v>29789606.699999999</v>
      </c>
      <c r="E131" s="3">
        <v>292051.71000000002</v>
      </c>
      <c r="F131" s="4">
        <v>3692526.47</v>
      </c>
      <c r="G131" s="3">
        <v>15187386.26</v>
      </c>
      <c r="H131" s="4">
        <v>3020654.74</v>
      </c>
      <c r="I131" s="3">
        <v>6028701.9699999997</v>
      </c>
      <c r="J131" s="3">
        <v>885044.66</v>
      </c>
      <c r="K131" s="4">
        <v>4774108.6399999997</v>
      </c>
      <c r="L131" s="3">
        <v>272440.15000000002</v>
      </c>
      <c r="M131" s="3">
        <v>886948.33</v>
      </c>
      <c r="N131" s="3">
        <v>57347.41</v>
      </c>
      <c r="O131" s="34">
        <v>2509886.11</v>
      </c>
      <c r="P131" s="34">
        <v>4545912.41</v>
      </c>
      <c r="Q131" s="34" t="s">
        <v>25</v>
      </c>
      <c r="R131" s="4">
        <v>1904446.46</v>
      </c>
      <c r="S131" s="3">
        <v>78187303.200000003</v>
      </c>
      <c r="T131" s="4">
        <v>3045944.68</v>
      </c>
      <c r="U131" s="4">
        <v>189864.09</v>
      </c>
      <c r="V131" s="4">
        <v>0</v>
      </c>
      <c r="W131" s="23">
        <v>11.44</v>
      </c>
      <c r="X131" s="34"/>
      <c r="Y131" s="3">
        <v>158004997.77000001</v>
      </c>
    </row>
    <row r="132" spans="1:25" x14ac:dyDescent="0.3">
      <c r="A132" s="7">
        <v>28795</v>
      </c>
      <c r="B132" s="2">
        <f t="shared" si="2"/>
        <v>6879</v>
      </c>
      <c r="C132" s="3">
        <f>1093567.77+19081.62</f>
        <v>1112649.3900000001</v>
      </c>
      <c r="D132" s="3">
        <v>6414104.6100000003</v>
      </c>
      <c r="E132" s="3">
        <v>131113.22</v>
      </c>
      <c r="F132" s="4">
        <v>3370927.68</v>
      </c>
      <c r="G132" s="3">
        <v>16494932.02</v>
      </c>
      <c r="H132" s="4">
        <v>3355035.74</v>
      </c>
      <c r="I132" s="3">
        <v>6070587.8099999996</v>
      </c>
      <c r="J132" s="3">
        <v>805870.45</v>
      </c>
      <c r="K132" s="4">
        <v>4911942.97</v>
      </c>
      <c r="L132" s="3">
        <v>252629.4</v>
      </c>
      <c r="M132" s="3">
        <v>872803.7</v>
      </c>
      <c r="N132" s="3">
        <v>35089.279999999999</v>
      </c>
      <c r="O132" s="34">
        <v>2512238.54</v>
      </c>
      <c r="P132" s="34">
        <v>4692850.5</v>
      </c>
      <c r="Q132" s="34" t="s">
        <v>25</v>
      </c>
      <c r="R132" s="4">
        <v>2359792.63</v>
      </c>
      <c r="S132" s="3">
        <v>78386110.700000003</v>
      </c>
      <c r="T132" s="4">
        <v>3026551.97</v>
      </c>
      <c r="U132" s="4">
        <v>204064.37</v>
      </c>
      <c r="V132" s="4">
        <v>0</v>
      </c>
      <c r="W132" s="23">
        <v>0</v>
      </c>
      <c r="X132" s="34"/>
      <c r="Y132" s="3">
        <v>134805230.61000001</v>
      </c>
    </row>
    <row r="133" spans="1:25" x14ac:dyDescent="0.3">
      <c r="A133" s="7">
        <v>28825</v>
      </c>
      <c r="B133" s="2">
        <f t="shared" si="2"/>
        <v>6909</v>
      </c>
      <c r="C133" s="3">
        <f>1559844.62+35462.65</f>
        <v>1595307.27</v>
      </c>
      <c r="D133" s="3">
        <v>7204629.6500000004</v>
      </c>
      <c r="E133" s="3">
        <v>493288.24</v>
      </c>
      <c r="F133" s="4">
        <v>2544794.1</v>
      </c>
      <c r="G133" s="3">
        <v>13884240.85</v>
      </c>
      <c r="H133" s="4">
        <v>2943985.12</v>
      </c>
      <c r="I133" s="3">
        <v>5872085.21</v>
      </c>
      <c r="J133" s="3">
        <v>676952.76</v>
      </c>
      <c r="K133" s="4">
        <v>4334294.07</v>
      </c>
      <c r="L133" s="3">
        <v>213168.65</v>
      </c>
      <c r="M133" s="3">
        <v>925810.34</v>
      </c>
      <c r="N133" s="3">
        <v>53944.54</v>
      </c>
      <c r="O133" s="34">
        <v>2395653.73</v>
      </c>
      <c r="P133" s="34">
        <v>4130905.99</v>
      </c>
      <c r="Q133" s="34" t="s">
        <v>25</v>
      </c>
      <c r="R133" s="4">
        <v>3055229.6</v>
      </c>
      <c r="S133" s="3">
        <v>77633779.829999998</v>
      </c>
      <c r="T133" s="4">
        <v>2030056.56</v>
      </c>
      <c r="U133" s="4">
        <v>178116.31</v>
      </c>
      <c r="V133" s="4">
        <v>0</v>
      </c>
      <c r="W133" s="23">
        <v>11.56</v>
      </c>
      <c r="X133" s="34"/>
      <c r="Y133" s="3">
        <v>129988138.06999999</v>
      </c>
    </row>
    <row r="134" spans="1:25" x14ac:dyDescent="0.3">
      <c r="A134" s="7">
        <v>28856</v>
      </c>
      <c r="B134" s="2">
        <f t="shared" si="2"/>
        <v>6940</v>
      </c>
      <c r="C134" s="3">
        <f>1963036.02+37276.88</f>
        <v>2000312.9</v>
      </c>
      <c r="D134" s="3">
        <v>28142797.140000001</v>
      </c>
      <c r="E134" s="3">
        <v>680433.6</v>
      </c>
      <c r="F134" s="4">
        <v>3240643.84</v>
      </c>
      <c r="G134" s="3">
        <v>15672744.310000001</v>
      </c>
      <c r="H134" s="4">
        <v>3228604.65</v>
      </c>
      <c r="I134" s="3">
        <v>5979269.3399999999</v>
      </c>
      <c r="J134" s="3">
        <v>662826.43000000005</v>
      </c>
      <c r="K134" s="4">
        <v>4790669.96</v>
      </c>
      <c r="L134" s="3">
        <v>240502.75</v>
      </c>
      <c r="M134" s="3">
        <v>1044885.55</v>
      </c>
      <c r="N134" s="3">
        <v>54251.48</v>
      </c>
      <c r="O134" s="34">
        <v>2356034.19</v>
      </c>
      <c r="P134" s="34">
        <v>4505202.8600000003</v>
      </c>
      <c r="Q134" s="34" t="s">
        <v>25</v>
      </c>
      <c r="R134" s="4">
        <v>3110335.15</v>
      </c>
      <c r="S134" s="3">
        <v>91922778.090000004</v>
      </c>
      <c r="T134" s="4">
        <v>3115006.58</v>
      </c>
      <c r="U134" s="4">
        <v>153572.69</v>
      </c>
      <c r="V134" s="4">
        <v>0</v>
      </c>
      <c r="W134" s="23">
        <v>4.4400000000000004</v>
      </c>
      <c r="X134" s="34"/>
      <c r="Y134" s="3">
        <v>170747303.25999999</v>
      </c>
    </row>
    <row r="135" spans="1:25" x14ac:dyDescent="0.3">
      <c r="A135" s="7">
        <v>28887</v>
      </c>
      <c r="B135" s="2">
        <f t="shared" si="2"/>
        <v>6971</v>
      </c>
      <c r="C135" s="3">
        <f>1238193.62+31277.48</f>
        <v>1269471.1000000001</v>
      </c>
      <c r="D135" s="3">
        <v>6153388.7699999996</v>
      </c>
      <c r="E135" s="3">
        <v>1203414.1200000001</v>
      </c>
      <c r="F135" s="4">
        <v>2306068.89</v>
      </c>
      <c r="G135" s="3">
        <v>15417150.08</v>
      </c>
      <c r="H135" s="4">
        <v>3200571.75</v>
      </c>
      <c r="I135" s="3">
        <v>5155848.9800000004</v>
      </c>
      <c r="J135" s="3">
        <v>871465.77</v>
      </c>
      <c r="K135" s="4">
        <v>6329544.9699999997</v>
      </c>
      <c r="L135" s="3">
        <v>222660.78</v>
      </c>
      <c r="M135" s="3">
        <v>852860.06</v>
      </c>
      <c r="N135" s="3">
        <v>70607.070000000007</v>
      </c>
      <c r="O135" s="34">
        <v>2256329.2000000002</v>
      </c>
      <c r="P135" s="34">
        <v>4529275.63</v>
      </c>
      <c r="Q135" s="34" t="s">
        <v>25</v>
      </c>
      <c r="R135" s="4">
        <v>2230465.1</v>
      </c>
      <c r="S135" s="3">
        <v>69697504.239999995</v>
      </c>
      <c r="T135" s="4">
        <v>2250402.09</v>
      </c>
      <c r="U135" s="4">
        <v>145575.44</v>
      </c>
      <c r="V135" s="4">
        <v>0</v>
      </c>
      <c r="W135" s="23">
        <v>0</v>
      </c>
      <c r="X135" s="34"/>
      <c r="Y135" s="3">
        <v>124017028.59999999</v>
      </c>
    </row>
    <row r="136" spans="1:25" x14ac:dyDescent="0.3">
      <c r="A136" s="7">
        <v>28915</v>
      </c>
      <c r="B136" s="2">
        <f t="shared" si="2"/>
        <v>6999</v>
      </c>
      <c r="C136" s="3">
        <f>9840818.09+147026.4</f>
        <v>9987844.4900000002</v>
      </c>
      <c r="D136" s="3">
        <v>14360982.9</v>
      </c>
      <c r="E136" s="3">
        <v>2563524.86</v>
      </c>
      <c r="F136" s="4">
        <v>3088753.01</v>
      </c>
      <c r="G136" s="3">
        <v>12616222.949999999</v>
      </c>
      <c r="H136" s="4">
        <v>2828646.9</v>
      </c>
      <c r="I136" s="3">
        <v>5894448.8200000003</v>
      </c>
      <c r="J136" s="3">
        <v>755409.29</v>
      </c>
      <c r="K136" s="4">
        <v>12619540.890000001</v>
      </c>
      <c r="L136" s="3">
        <v>305584.90000000002</v>
      </c>
      <c r="M136" s="3">
        <v>911354.99</v>
      </c>
      <c r="N136" s="3">
        <v>171066.93</v>
      </c>
      <c r="O136" s="34">
        <v>1825760.64</v>
      </c>
      <c r="P136" s="34">
        <v>4145480.45</v>
      </c>
      <c r="Q136" s="34" t="s">
        <v>25</v>
      </c>
      <c r="R136" s="4">
        <v>2124269.71</v>
      </c>
      <c r="S136" s="3">
        <v>65793838.520000003</v>
      </c>
      <c r="T136" s="4">
        <v>2206734.29</v>
      </c>
      <c r="U136" s="4">
        <v>138805.82</v>
      </c>
      <c r="V136" s="4">
        <v>0</v>
      </c>
      <c r="W136" s="23">
        <v>0</v>
      </c>
      <c r="X136" s="34"/>
      <c r="Y136" s="3">
        <v>142199464.53999999</v>
      </c>
    </row>
    <row r="137" spans="1:25" x14ac:dyDescent="0.3">
      <c r="A137" s="7">
        <v>28946</v>
      </c>
      <c r="B137" s="2">
        <f t="shared" si="2"/>
        <v>7030</v>
      </c>
      <c r="C137" s="3">
        <f>14581912.39+121570.31</f>
        <v>14703482.700000001</v>
      </c>
      <c r="D137" s="3">
        <v>41119723.799999997</v>
      </c>
      <c r="E137" s="3">
        <v>18909703.98</v>
      </c>
      <c r="F137" s="4">
        <v>3503716.56</v>
      </c>
      <c r="G137" s="3">
        <v>13476154.16</v>
      </c>
      <c r="H137" s="4">
        <v>2750686.61</v>
      </c>
      <c r="I137" s="3">
        <v>5617842.4199999999</v>
      </c>
      <c r="J137" s="3">
        <v>977015.87</v>
      </c>
      <c r="K137" s="4">
        <v>18991128.829999998</v>
      </c>
      <c r="L137" s="3">
        <v>310784.65000000002</v>
      </c>
      <c r="M137" s="3">
        <v>1053791.31</v>
      </c>
      <c r="N137" s="3">
        <v>113469.58</v>
      </c>
      <c r="O137" s="34">
        <v>2395548.0299999998</v>
      </c>
      <c r="P137" s="34">
        <v>4457688.9400000004</v>
      </c>
      <c r="Q137" s="34" t="s">
        <v>25</v>
      </c>
      <c r="R137" s="4">
        <v>2303061.9500000002</v>
      </c>
      <c r="S137" s="3">
        <v>79864787.439999998</v>
      </c>
      <c r="T137" s="4">
        <v>3139791.49</v>
      </c>
      <c r="U137" s="4">
        <v>176489.71</v>
      </c>
      <c r="V137" s="4">
        <v>0</v>
      </c>
      <c r="W137" s="23">
        <v>16.18</v>
      </c>
      <c r="X137" s="34"/>
      <c r="Y137" s="3">
        <v>213688394.5</v>
      </c>
    </row>
    <row r="138" spans="1:25" x14ac:dyDescent="0.3">
      <c r="A138" s="7">
        <v>28976</v>
      </c>
      <c r="B138" s="2">
        <f t="shared" si="2"/>
        <v>7060</v>
      </c>
      <c r="C138" s="3">
        <f>1379639.88+25720.96</f>
        <v>1405360.8399999999</v>
      </c>
      <c r="D138" s="3">
        <v>5961330.2199999997</v>
      </c>
      <c r="E138" s="3">
        <v>355340.32</v>
      </c>
      <c r="F138" s="4">
        <v>4008282.84</v>
      </c>
      <c r="G138" s="3">
        <v>14426981.220000001</v>
      </c>
      <c r="H138" s="4">
        <v>2745540.77</v>
      </c>
      <c r="I138" s="3">
        <v>6879902.4199999999</v>
      </c>
      <c r="J138" s="3">
        <v>806503.85</v>
      </c>
      <c r="K138" s="4">
        <v>13187908.869999999</v>
      </c>
      <c r="L138" s="3">
        <v>326832.84999999998</v>
      </c>
      <c r="M138" s="3">
        <v>959033.6</v>
      </c>
      <c r="N138" s="3">
        <v>90290.59</v>
      </c>
      <c r="O138" s="34">
        <v>2540551.29</v>
      </c>
      <c r="P138" s="34">
        <v>4530418.25</v>
      </c>
      <c r="Q138" s="34" t="s">
        <v>25</v>
      </c>
      <c r="R138" s="4">
        <v>2246694.5099999998</v>
      </c>
      <c r="S138" s="3">
        <v>81406457.120000005</v>
      </c>
      <c r="T138" s="4">
        <v>2937170.58</v>
      </c>
      <c r="U138" s="4">
        <v>178803.96</v>
      </c>
      <c r="V138" s="4">
        <v>0</v>
      </c>
      <c r="W138" s="23">
        <v>5</v>
      </c>
      <c r="X138" s="34"/>
      <c r="Y138" s="3">
        <v>144814605.13999999</v>
      </c>
    </row>
    <row r="139" spans="1:25" x14ac:dyDescent="0.3">
      <c r="A139" s="7">
        <v>29007</v>
      </c>
      <c r="B139" s="2">
        <f t="shared" si="2"/>
        <v>7091</v>
      </c>
      <c r="C139" s="3">
        <f>1571138.61+38544.61</f>
        <v>1609683.2200000002</v>
      </c>
      <c r="D139" s="3">
        <v>7407335.1200000001</v>
      </c>
      <c r="E139" s="3">
        <v>757425.61</v>
      </c>
      <c r="F139" s="4">
        <v>2585066.59</v>
      </c>
      <c r="G139" s="3">
        <v>15631646.02</v>
      </c>
      <c r="H139" s="4">
        <v>2845162.52</v>
      </c>
      <c r="I139" s="3">
        <v>6235328.6900000004</v>
      </c>
      <c r="J139" s="3">
        <v>881175.06</v>
      </c>
      <c r="K139" s="4">
        <v>8584163.2799999993</v>
      </c>
      <c r="L139" s="3">
        <v>300561.59999999998</v>
      </c>
      <c r="M139" s="3">
        <v>1022058.01</v>
      </c>
      <c r="N139" s="3">
        <v>3151184.02</v>
      </c>
      <c r="O139" s="34">
        <v>2640096.7000000002</v>
      </c>
      <c r="P139" s="34">
        <v>4191122.74</v>
      </c>
      <c r="Q139" s="34" t="s">
        <v>25</v>
      </c>
      <c r="R139" s="4">
        <v>2271839.65</v>
      </c>
      <c r="S139" s="3">
        <v>80306245.109999999</v>
      </c>
      <c r="T139" s="4">
        <v>2328063.64</v>
      </c>
      <c r="U139" s="4">
        <v>147373.1</v>
      </c>
      <c r="V139" s="4">
        <v>0</v>
      </c>
      <c r="W139" s="23">
        <v>5.22</v>
      </c>
      <c r="X139" s="34"/>
      <c r="Y139" s="3">
        <v>142748162.80000001</v>
      </c>
    </row>
    <row r="140" spans="1:25" x14ac:dyDescent="0.3">
      <c r="A140" s="7">
        <v>29037</v>
      </c>
      <c r="B140" s="2">
        <f t="shared" si="2"/>
        <v>7121</v>
      </c>
      <c r="C140" s="3">
        <f>1544137.95+33908.3</f>
        <v>1578046.25</v>
      </c>
      <c r="D140" s="3">
        <v>29573967.93</v>
      </c>
      <c r="E140" s="3">
        <v>250322.92</v>
      </c>
      <c r="F140" s="4">
        <v>3137955.01</v>
      </c>
      <c r="G140" s="3">
        <v>14085543.039999999</v>
      </c>
      <c r="H140" s="4">
        <v>3001835.93</v>
      </c>
      <c r="I140" s="3">
        <v>6545619.4400000004</v>
      </c>
      <c r="J140" s="3">
        <v>810973.75</v>
      </c>
      <c r="K140" s="4">
        <v>5120655.8499999996</v>
      </c>
      <c r="L140" s="3">
        <v>288751.82</v>
      </c>
      <c r="M140" s="3">
        <v>970985.83</v>
      </c>
      <c r="N140" s="3">
        <v>571487.4</v>
      </c>
      <c r="O140" s="34">
        <v>2767394.32</v>
      </c>
      <c r="P140" s="34">
        <v>6340870.5700000003</v>
      </c>
      <c r="Q140" s="34" t="s">
        <v>25</v>
      </c>
      <c r="R140" s="4">
        <v>1958579.65</v>
      </c>
      <c r="S140" s="3">
        <v>84204080.930000007</v>
      </c>
      <c r="T140" s="4">
        <v>2954210.78</v>
      </c>
      <c r="U140" s="4">
        <v>179466.88</v>
      </c>
      <c r="V140" s="4">
        <v>0</v>
      </c>
      <c r="W140" s="23">
        <v>0</v>
      </c>
      <c r="X140" s="34"/>
      <c r="Y140" s="3">
        <v>164161281.41999999</v>
      </c>
    </row>
    <row r="141" spans="1:25" x14ac:dyDescent="0.3">
      <c r="A141" s="7">
        <v>29068</v>
      </c>
      <c r="B141" s="2">
        <f t="shared" si="2"/>
        <v>7152</v>
      </c>
      <c r="C141" s="3">
        <f>1549273.3+25154.36</f>
        <v>1574427.6600000001</v>
      </c>
      <c r="D141" s="3">
        <v>7199639.25</v>
      </c>
      <c r="E141" s="3">
        <v>363636.77</v>
      </c>
      <c r="F141" s="4">
        <v>1560844.77</v>
      </c>
      <c r="G141" s="3">
        <v>13683989.880000001</v>
      </c>
      <c r="H141" s="4">
        <v>2607434.1</v>
      </c>
      <c r="I141" s="3">
        <v>6073920.3499999996</v>
      </c>
      <c r="J141" s="3">
        <v>735987.53</v>
      </c>
      <c r="K141" s="4">
        <v>3635342.83</v>
      </c>
      <c r="L141" s="3">
        <v>303949.15999999997</v>
      </c>
      <c r="M141" s="3">
        <v>947984.83</v>
      </c>
      <c r="N141" s="3">
        <v>93055.38</v>
      </c>
      <c r="O141" s="34">
        <v>2714246.93</v>
      </c>
      <c r="P141" s="34">
        <v>9228436.8300000001</v>
      </c>
      <c r="Q141" s="34" t="s">
        <v>25</v>
      </c>
      <c r="R141" s="4">
        <v>2134376.5</v>
      </c>
      <c r="S141" s="3">
        <v>80698374.480000004</v>
      </c>
      <c r="T141" s="4">
        <v>1681585.6</v>
      </c>
      <c r="U141" s="4">
        <v>134693.17000000001</v>
      </c>
      <c r="V141" s="4">
        <v>0</v>
      </c>
      <c r="W141" s="23">
        <v>0</v>
      </c>
      <c r="X141" s="34"/>
      <c r="Y141" s="3">
        <v>135237232.84999999</v>
      </c>
    </row>
    <row r="142" spans="1:25" x14ac:dyDescent="0.3">
      <c r="A142" s="7">
        <v>29099</v>
      </c>
      <c r="B142" s="2">
        <f t="shared" si="2"/>
        <v>7183</v>
      </c>
      <c r="C142" s="3">
        <f>1794659.98+74075.32</f>
        <v>1868735.3</v>
      </c>
      <c r="D142" s="3">
        <v>7910982.25</v>
      </c>
      <c r="E142" s="3">
        <v>290443.34999999998</v>
      </c>
      <c r="F142" s="4">
        <v>2262142.39</v>
      </c>
      <c r="G142" s="3">
        <v>15257300.880000001</v>
      </c>
      <c r="H142" s="4">
        <v>2750725.11</v>
      </c>
      <c r="I142" s="3">
        <v>5842300.2999999998</v>
      </c>
      <c r="J142" s="3">
        <v>846696.31</v>
      </c>
      <c r="K142" s="4">
        <v>3573666.76</v>
      </c>
      <c r="L142" s="3">
        <v>246839.37</v>
      </c>
      <c r="M142" s="3">
        <v>1001239.93</v>
      </c>
      <c r="N142" s="3">
        <v>113440.77</v>
      </c>
      <c r="O142" s="34">
        <v>2991742.1</v>
      </c>
      <c r="P142" s="34">
        <v>16891044.149999999</v>
      </c>
      <c r="Q142" s="34" t="s">
        <v>25</v>
      </c>
      <c r="R142" s="4">
        <v>2262077.0699999998</v>
      </c>
      <c r="S142" s="3">
        <v>83452816.519999996</v>
      </c>
      <c r="T142" s="4">
        <v>2671807.34</v>
      </c>
      <c r="U142" s="4">
        <v>198548.56</v>
      </c>
      <c r="V142" s="4">
        <v>0</v>
      </c>
      <c r="W142" s="23">
        <v>0</v>
      </c>
      <c r="X142" s="34"/>
      <c r="Y142" s="3">
        <v>150233999.90000001</v>
      </c>
    </row>
    <row r="143" spans="1:25" x14ac:dyDescent="0.3">
      <c r="A143" s="7">
        <v>29129</v>
      </c>
      <c r="B143" s="2">
        <f t="shared" si="2"/>
        <v>7213</v>
      </c>
      <c r="C143" s="3">
        <f>3191358.05+40308.9</f>
        <v>3231666.9499999997</v>
      </c>
      <c r="D143" s="3">
        <v>32125000.870000001</v>
      </c>
      <c r="E143" s="3">
        <v>404129.32</v>
      </c>
      <c r="F143" s="4">
        <v>2070831.34</v>
      </c>
      <c r="G143" s="3">
        <v>12927813.5</v>
      </c>
      <c r="H143" s="4">
        <v>2533118.87</v>
      </c>
      <c r="I143" s="3">
        <v>6834824.8399999999</v>
      </c>
      <c r="J143" s="3">
        <v>823323.68</v>
      </c>
      <c r="K143" s="4">
        <v>4956039.12</v>
      </c>
      <c r="L143" s="3">
        <v>291904.57</v>
      </c>
      <c r="M143" s="3">
        <v>1010940.9</v>
      </c>
      <c r="N143" s="3">
        <v>69079.95</v>
      </c>
      <c r="O143" s="34">
        <v>2477644.52</v>
      </c>
      <c r="P143" s="34">
        <v>5690758.0999999996</v>
      </c>
      <c r="Q143" s="34" t="s">
        <v>25</v>
      </c>
      <c r="R143" s="4">
        <v>2036567.73</v>
      </c>
      <c r="S143" s="3">
        <v>80617926.640000001</v>
      </c>
      <c r="T143" s="8">
        <v>2830571.8</v>
      </c>
      <c r="U143" s="4">
        <v>168570.8</v>
      </c>
      <c r="V143" s="4">
        <v>0</v>
      </c>
      <c r="W143" s="23">
        <v>0</v>
      </c>
      <c r="X143" s="34"/>
      <c r="Y143" s="4">
        <v>160932142.69999999</v>
      </c>
    </row>
    <row r="144" spans="1:25" x14ac:dyDescent="0.3">
      <c r="A144" s="7">
        <v>29160</v>
      </c>
      <c r="B144" s="2">
        <f t="shared" si="2"/>
        <v>7244</v>
      </c>
      <c r="C144" s="3">
        <f>1384087.05+22761.85</f>
        <v>1406848.9000000001</v>
      </c>
      <c r="D144" s="3">
        <v>6884753.54</v>
      </c>
      <c r="E144" s="3">
        <v>172480.39</v>
      </c>
      <c r="F144" s="4">
        <v>3123020.41</v>
      </c>
      <c r="G144" s="3">
        <v>13565029.16</v>
      </c>
      <c r="H144" s="4">
        <v>2609934.77</v>
      </c>
      <c r="I144" s="3">
        <v>5861619.8700000001</v>
      </c>
      <c r="J144" s="3">
        <v>741717.96</v>
      </c>
      <c r="K144" s="4">
        <v>4877537.4800000004</v>
      </c>
      <c r="L144" s="3">
        <v>248242.19</v>
      </c>
      <c r="M144" s="3">
        <v>1020917.13</v>
      </c>
      <c r="N144" s="3">
        <v>36366.839999999997</v>
      </c>
      <c r="O144" s="34">
        <v>2980289.56</v>
      </c>
      <c r="P144" s="34">
        <v>7993276.96</v>
      </c>
      <c r="Q144" s="34" t="s">
        <v>25</v>
      </c>
      <c r="R144" s="4">
        <v>2675496.8199999998</v>
      </c>
      <c r="S144" s="3">
        <v>82370452.079999998</v>
      </c>
      <c r="T144" s="4">
        <v>2906674.1</v>
      </c>
      <c r="U144" s="4">
        <v>182541.95</v>
      </c>
      <c r="V144" s="4">
        <v>0</v>
      </c>
      <c r="W144" s="23">
        <v>0</v>
      </c>
      <c r="X144" s="34"/>
      <c r="Y144" s="3">
        <v>139474658.16</v>
      </c>
    </row>
    <row r="145" spans="1:25" x14ac:dyDescent="0.3">
      <c r="A145" s="7">
        <v>29190</v>
      </c>
      <c r="B145" s="2">
        <f t="shared" si="2"/>
        <v>7274</v>
      </c>
      <c r="C145" s="3">
        <f>1855559.07+77298.97</f>
        <v>1932858.04</v>
      </c>
      <c r="D145" s="3">
        <v>8570105.1699999999</v>
      </c>
      <c r="E145" s="3">
        <v>787520.66</v>
      </c>
      <c r="F145" s="4">
        <v>2435535.1</v>
      </c>
      <c r="G145" s="3">
        <v>13995231.109999999</v>
      </c>
      <c r="H145" s="4">
        <v>2804009.04</v>
      </c>
      <c r="I145" s="3">
        <v>5788441.9199999999</v>
      </c>
      <c r="J145" s="3">
        <v>755238.92</v>
      </c>
      <c r="K145" s="4">
        <v>4530733.84</v>
      </c>
      <c r="L145" s="3">
        <v>212213.55</v>
      </c>
      <c r="M145" s="3">
        <v>1028616.95</v>
      </c>
      <c r="N145" s="3">
        <v>54944.75</v>
      </c>
      <c r="O145" s="34">
        <v>2540319.39</v>
      </c>
      <c r="P145" s="34">
        <v>5183708.0599999996</v>
      </c>
      <c r="Q145" s="34" t="s">
        <v>25</v>
      </c>
      <c r="R145" s="4">
        <v>2830973.28</v>
      </c>
      <c r="S145" s="3">
        <v>84881127.799999997</v>
      </c>
      <c r="T145" s="4">
        <v>2503733.3199999998</v>
      </c>
      <c r="U145" s="4">
        <v>159488.92000000001</v>
      </c>
      <c r="V145" s="4">
        <v>0</v>
      </c>
      <c r="W145" s="23">
        <v>0</v>
      </c>
      <c r="X145" s="34"/>
      <c r="Y145" s="3">
        <v>140835310.90000001</v>
      </c>
    </row>
    <row r="146" spans="1:25" x14ac:dyDescent="0.3">
      <c r="A146" s="7">
        <v>29221</v>
      </c>
      <c r="B146" s="2">
        <f t="shared" si="2"/>
        <v>7305</v>
      </c>
      <c r="C146" s="3">
        <f>2089943.25+34811.5</f>
        <v>2124754.75</v>
      </c>
      <c r="D146" s="3">
        <v>28604488.609999999</v>
      </c>
      <c r="E146" s="10">
        <v>850733.52</v>
      </c>
      <c r="F146" s="4">
        <v>2048081.57</v>
      </c>
      <c r="G146" s="3">
        <v>13333885.039999999</v>
      </c>
      <c r="H146" s="4">
        <v>2863005.15</v>
      </c>
      <c r="I146" s="3">
        <v>6255344.3799999999</v>
      </c>
      <c r="J146" s="3">
        <v>643237.05000000005</v>
      </c>
      <c r="K146" s="4">
        <v>5717433.2400000002</v>
      </c>
      <c r="L146" s="3">
        <v>256457.21</v>
      </c>
      <c r="M146" s="3">
        <v>1130395.83</v>
      </c>
      <c r="N146" s="3">
        <v>47093.14</v>
      </c>
      <c r="O146" s="34">
        <v>2098461.12</v>
      </c>
      <c r="P146" s="34">
        <v>5720607.6500000004</v>
      </c>
      <c r="Q146" s="34" t="s">
        <v>25</v>
      </c>
      <c r="R146" s="4">
        <v>3236152.45</v>
      </c>
      <c r="S146" s="3">
        <v>97121679.170000002</v>
      </c>
      <c r="T146" s="4">
        <v>3264819.52</v>
      </c>
      <c r="U146" s="4">
        <v>145577.39000000001</v>
      </c>
      <c r="V146" s="4">
        <v>126448.97</v>
      </c>
      <c r="W146" s="23">
        <v>0</v>
      </c>
      <c r="X146" s="34"/>
      <c r="Y146" s="3">
        <v>175443078.37</v>
      </c>
    </row>
    <row r="147" spans="1:25" x14ac:dyDescent="0.3">
      <c r="A147" s="7">
        <v>29252</v>
      </c>
      <c r="B147" s="2">
        <f t="shared" si="2"/>
        <v>7336</v>
      </c>
      <c r="C147" s="3">
        <f>1481790.28+30212.88</f>
        <v>1512003.16</v>
      </c>
      <c r="D147" s="3">
        <v>6257500.1299999999</v>
      </c>
      <c r="E147" s="3">
        <v>1344066.83</v>
      </c>
      <c r="F147" s="4">
        <v>2859046.71</v>
      </c>
      <c r="G147" s="3">
        <v>15613176.800000001</v>
      </c>
      <c r="H147" s="4">
        <v>2764969.82</v>
      </c>
      <c r="I147" s="3">
        <v>5534303.3200000003</v>
      </c>
      <c r="J147" s="3">
        <v>694193.45</v>
      </c>
      <c r="K147" s="4">
        <v>6527007.8200000003</v>
      </c>
      <c r="L147" s="3">
        <v>217884.45</v>
      </c>
      <c r="M147" s="3">
        <v>990047.55</v>
      </c>
      <c r="N147" s="3">
        <v>57694.14</v>
      </c>
      <c r="O147" s="34">
        <v>2200406.34</v>
      </c>
      <c r="P147" s="34">
        <v>8120873.3499999996</v>
      </c>
      <c r="Q147" s="34" t="s">
        <v>25</v>
      </c>
      <c r="R147" s="4">
        <v>2266597</v>
      </c>
      <c r="S147" s="3">
        <v>71663671.120000005</v>
      </c>
      <c r="T147" s="4">
        <v>1885396.74</v>
      </c>
      <c r="U147" s="4">
        <v>161629.26</v>
      </c>
      <c r="V147" s="4">
        <v>24029.64</v>
      </c>
      <c r="W147" s="23">
        <v>0</v>
      </c>
      <c r="X147" s="34"/>
      <c r="Y147" s="3">
        <v>130532868.37</v>
      </c>
    </row>
    <row r="148" spans="1:25" x14ac:dyDescent="0.3">
      <c r="A148" s="7">
        <v>29281</v>
      </c>
      <c r="B148" s="2">
        <f t="shared" si="2"/>
        <v>7365</v>
      </c>
      <c r="C148" s="3">
        <f>11325083.35+174061.84</f>
        <v>11499145.189999999</v>
      </c>
      <c r="D148" s="3">
        <v>16996059.34</v>
      </c>
      <c r="E148" s="3">
        <v>2590097.2200000002</v>
      </c>
      <c r="F148" s="4">
        <v>2921778.19</v>
      </c>
      <c r="G148" s="3">
        <v>11225839.57</v>
      </c>
      <c r="H148" s="4">
        <v>2355739.59</v>
      </c>
      <c r="I148" s="3">
        <v>6121271.4400000004</v>
      </c>
      <c r="J148" s="3">
        <v>800873.97</v>
      </c>
      <c r="K148" s="4">
        <v>12687271.76</v>
      </c>
      <c r="L148" s="3">
        <v>293243.3</v>
      </c>
      <c r="M148" s="3">
        <v>1009263.36</v>
      </c>
      <c r="N148" s="3">
        <v>206541.74</v>
      </c>
      <c r="O148" s="34">
        <v>2082820.84</v>
      </c>
      <c r="P148" s="34">
        <v>5200009.07</v>
      </c>
      <c r="Q148" s="34" t="s">
        <v>25</v>
      </c>
      <c r="R148" s="4">
        <v>2346792.0299999998</v>
      </c>
      <c r="S148" s="3">
        <v>71545376.359999999</v>
      </c>
      <c r="T148" s="4">
        <v>2682982.89</v>
      </c>
      <c r="U148" s="4">
        <v>152140.75</v>
      </c>
      <c r="V148" s="9">
        <v>19923.16</v>
      </c>
      <c r="W148" s="23">
        <v>0</v>
      </c>
      <c r="X148" s="34"/>
      <c r="Y148" s="3">
        <v>152585029.02000001</v>
      </c>
    </row>
    <row r="149" spans="1:25" x14ac:dyDescent="0.3">
      <c r="A149" s="7">
        <v>29312</v>
      </c>
      <c r="B149" s="2">
        <f t="shared" si="2"/>
        <v>7396</v>
      </c>
      <c r="C149" s="3">
        <f>14736310.2+115378.45</f>
        <v>14851688.649999999</v>
      </c>
      <c r="D149" s="3">
        <v>41220105.649999999</v>
      </c>
      <c r="E149" s="3">
        <v>22242239.370000001</v>
      </c>
      <c r="F149" s="4">
        <v>2144793.7599999998</v>
      </c>
      <c r="G149" s="8">
        <v>10802595.050000001</v>
      </c>
      <c r="H149" s="4">
        <v>2300687.2400000002</v>
      </c>
      <c r="I149" s="3">
        <v>6135302.0499999998</v>
      </c>
      <c r="J149" s="9">
        <v>871167.5</v>
      </c>
      <c r="K149" s="4">
        <v>19130408.75</v>
      </c>
      <c r="L149" s="3">
        <v>301125.06</v>
      </c>
      <c r="M149" s="3">
        <v>1112075.32</v>
      </c>
      <c r="N149" s="3">
        <v>119255.85</v>
      </c>
      <c r="O149" s="34">
        <v>2318267.5</v>
      </c>
      <c r="P149" s="34">
        <v>5590250.8600000003</v>
      </c>
      <c r="Q149" s="34" t="s">
        <v>25</v>
      </c>
      <c r="R149" s="4">
        <v>2289620.35</v>
      </c>
      <c r="S149" s="3">
        <v>80647385.890000001</v>
      </c>
      <c r="T149" s="4">
        <v>3219258.46</v>
      </c>
      <c r="U149" s="4">
        <v>153507.16</v>
      </c>
      <c r="V149" s="4">
        <v>22941.74</v>
      </c>
      <c r="W149" s="23">
        <v>0</v>
      </c>
      <c r="X149" s="34"/>
      <c r="Y149" s="3">
        <v>215319169.05000001</v>
      </c>
    </row>
    <row r="150" spans="1:25" x14ac:dyDescent="0.3">
      <c r="A150" s="7">
        <v>29342</v>
      </c>
      <c r="B150" s="2">
        <f t="shared" si="2"/>
        <v>7426</v>
      </c>
      <c r="C150" s="3">
        <f>1183418.91+26054.52</f>
        <v>1209473.43</v>
      </c>
      <c r="D150" s="3">
        <v>5956547.79</v>
      </c>
      <c r="E150" s="3">
        <v>543556.56000000006</v>
      </c>
      <c r="F150" s="4">
        <v>1567038.65</v>
      </c>
      <c r="G150" s="3">
        <v>14677175.48</v>
      </c>
      <c r="H150" s="4">
        <v>2907714.37</v>
      </c>
      <c r="I150" s="3">
        <v>6545642.3499999996</v>
      </c>
      <c r="J150" s="3">
        <v>722059.35</v>
      </c>
      <c r="K150" s="4">
        <v>12442207.26</v>
      </c>
      <c r="L150" s="3">
        <v>247190.82</v>
      </c>
      <c r="M150" s="3">
        <v>1024610.72</v>
      </c>
      <c r="N150" s="3">
        <v>81053.63</v>
      </c>
      <c r="O150" s="34">
        <v>2213497.91</v>
      </c>
      <c r="P150" s="34">
        <v>8265637.5300000003</v>
      </c>
      <c r="Q150" s="34" t="s">
        <v>25</v>
      </c>
      <c r="R150" s="4">
        <v>2445193.21</v>
      </c>
      <c r="S150" s="3">
        <v>79374053.349999994</v>
      </c>
      <c r="T150" s="4">
        <v>2149999.96</v>
      </c>
      <c r="U150" s="4">
        <v>154636.29999999999</v>
      </c>
      <c r="V150" s="4">
        <v>26741.78</v>
      </c>
      <c r="W150" s="23">
        <v>0</v>
      </c>
      <c r="X150" s="34"/>
      <c r="Y150" s="3">
        <v>142399394.15000001</v>
      </c>
    </row>
    <row r="151" spans="1:25" x14ac:dyDescent="0.3">
      <c r="A151" s="7">
        <v>29373</v>
      </c>
      <c r="B151" s="2">
        <f t="shared" si="2"/>
        <v>7457</v>
      </c>
      <c r="C151" s="3">
        <f>1802365.51+38103.63</f>
        <v>1840469.14</v>
      </c>
      <c r="D151" s="3">
        <v>6922599.9800000004</v>
      </c>
      <c r="E151" s="3">
        <v>960873.28</v>
      </c>
      <c r="F151" s="4">
        <v>2176417.35</v>
      </c>
      <c r="G151" s="3">
        <v>14364431.279999999</v>
      </c>
      <c r="H151" s="4">
        <v>2579710.9300000002</v>
      </c>
      <c r="I151" s="3">
        <v>6281530.8899999997</v>
      </c>
      <c r="J151" s="3">
        <v>886686.78</v>
      </c>
      <c r="K151" s="4">
        <v>7562682.1699999999</v>
      </c>
      <c r="L151" s="3">
        <v>263392.5</v>
      </c>
      <c r="M151" s="3">
        <v>1048281.61</v>
      </c>
      <c r="N151" s="3">
        <v>3906510.13</v>
      </c>
      <c r="O151" s="34">
        <v>2052946.47</v>
      </c>
      <c r="P151" s="34">
        <v>5224941.34</v>
      </c>
      <c r="Q151" s="34" t="s">
        <v>25</v>
      </c>
      <c r="R151" s="4">
        <v>2214582.29</v>
      </c>
      <c r="S151" s="3">
        <v>81543874.659999996</v>
      </c>
      <c r="T151" s="4">
        <v>2423091.87</v>
      </c>
      <c r="U151" s="4">
        <v>162987.66</v>
      </c>
      <c r="V151" s="4">
        <v>29750.83</v>
      </c>
      <c r="W151" s="23">
        <v>0</v>
      </c>
      <c r="X151" s="34"/>
      <c r="Y151" s="3">
        <v>142282773.5</v>
      </c>
    </row>
    <row r="152" spans="1:25" x14ac:dyDescent="0.3">
      <c r="A152" s="7">
        <v>29403</v>
      </c>
      <c r="B152" s="2">
        <f t="shared" si="2"/>
        <v>7487</v>
      </c>
      <c r="C152" s="3">
        <f>1366526.63+33335.63</f>
        <v>1399862.2599999998</v>
      </c>
      <c r="D152" s="3">
        <v>30661584.859999999</v>
      </c>
      <c r="E152" s="3">
        <v>294223.33</v>
      </c>
      <c r="F152" s="4">
        <v>2558989.2799999998</v>
      </c>
      <c r="G152" s="3">
        <v>12802511.68</v>
      </c>
      <c r="H152" s="4">
        <v>2457671.83</v>
      </c>
      <c r="I152" s="3">
        <v>6854688.29</v>
      </c>
      <c r="J152" s="3">
        <v>914784.42</v>
      </c>
      <c r="K152" s="4">
        <v>5371535.5800000001</v>
      </c>
      <c r="L152" s="3">
        <v>255842.1</v>
      </c>
      <c r="M152" s="3">
        <v>1049451.25</v>
      </c>
      <c r="N152" s="3">
        <v>211230.39</v>
      </c>
      <c r="O152" s="34">
        <v>2318897.31</v>
      </c>
      <c r="P152" s="34">
        <v>8199732.3099999996</v>
      </c>
      <c r="Q152" s="34" t="s">
        <v>25</v>
      </c>
      <c r="R152" s="4">
        <v>2203384.36</v>
      </c>
      <c r="S152" s="3">
        <v>83997208.840000004</v>
      </c>
      <c r="T152" s="4">
        <v>2965115.46</v>
      </c>
      <c r="U152" s="4">
        <v>164132.63</v>
      </c>
      <c r="V152" s="4">
        <v>38001.97</v>
      </c>
      <c r="W152" s="23">
        <v>0</v>
      </c>
      <c r="X152" s="34"/>
      <c r="Y152" s="3">
        <v>164554715.52000001</v>
      </c>
    </row>
    <row r="153" spans="1:25" x14ac:dyDescent="0.3">
      <c r="A153" s="7">
        <v>29434</v>
      </c>
      <c r="B153" s="2">
        <f t="shared" si="2"/>
        <v>7518</v>
      </c>
      <c r="C153" s="3">
        <f>1269178.43+26437.46</f>
        <v>1295615.8899999999</v>
      </c>
      <c r="D153" s="3">
        <v>6898297.8099999996</v>
      </c>
      <c r="E153" s="3">
        <v>411642.67</v>
      </c>
      <c r="F153" s="4">
        <v>2030676.9</v>
      </c>
      <c r="G153" s="3">
        <v>13247497.76</v>
      </c>
      <c r="H153" s="4">
        <v>2633045.5099999998</v>
      </c>
      <c r="I153" s="3">
        <v>6423103.1100000003</v>
      </c>
      <c r="J153" s="3">
        <v>941957.99</v>
      </c>
      <c r="K153" s="4">
        <v>3631182.03</v>
      </c>
      <c r="L153" s="3">
        <v>246273.4</v>
      </c>
      <c r="M153" s="3">
        <v>1028437.82</v>
      </c>
      <c r="N153" s="3">
        <v>57832.84</v>
      </c>
      <c r="O153" s="34">
        <v>2013148.25</v>
      </c>
      <c r="P153" s="34">
        <v>20669451.07</v>
      </c>
      <c r="Q153" s="34" t="s">
        <v>25</v>
      </c>
      <c r="R153" s="4">
        <v>2159118.64</v>
      </c>
      <c r="S153" s="3">
        <v>83492930.790000007</v>
      </c>
      <c r="T153" s="4">
        <v>1980129.84</v>
      </c>
      <c r="U153" s="12">
        <v>165218.68</v>
      </c>
      <c r="V153" s="4">
        <v>45273.31</v>
      </c>
      <c r="W153" s="23">
        <v>0</v>
      </c>
      <c r="X153" s="34"/>
      <c r="Y153" s="3">
        <v>149205615.63</v>
      </c>
    </row>
    <row r="154" spans="1:25" x14ac:dyDescent="0.3">
      <c r="A154" s="7">
        <v>29465</v>
      </c>
      <c r="B154" s="2">
        <f t="shared" si="2"/>
        <v>7549</v>
      </c>
      <c r="C154" s="3">
        <f>2999467.12+45298.57</f>
        <v>3044765.69</v>
      </c>
      <c r="D154" s="3">
        <v>7966598.1600000001</v>
      </c>
      <c r="E154" s="3">
        <v>310615.38</v>
      </c>
      <c r="F154" s="4">
        <v>1985257.13</v>
      </c>
      <c r="G154" s="3">
        <v>13356048.300000001</v>
      </c>
      <c r="H154" s="4">
        <v>2511029.31</v>
      </c>
      <c r="I154" s="3">
        <v>6646898.1399999997</v>
      </c>
      <c r="J154" s="3">
        <v>893461.68</v>
      </c>
      <c r="K154" s="4">
        <v>4484709.2699999996</v>
      </c>
      <c r="L154" s="3">
        <v>256109.04</v>
      </c>
      <c r="M154" s="3">
        <v>1148884.51</v>
      </c>
      <c r="N154" s="3">
        <v>184517.88</v>
      </c>
      <c r="O154" s="34">
        <v>2919130.18</v>
      </c>
      <c r="P154" s="34">
        <v>13696934.9</v>
      </c>
      <c r="Q154" s="34" t="s">
        <v>25</v>
      </c>
      <c r="R154" s="4">
        <v>1956759.45</v>
      </c>
      <c r="S154" s="3">
        <v>86328827.319999993</v>
      </c>
      <c r="T154" s="4">
        <v>2549193.58</v>
      </c>
      <c r="U154" s="4">
        <v>164374.01999999999</v>
      </c>
      <c r="V154" s="4">
        <v>33015.03</v>
      </c>
      <c r="W154" s="23">
        <v>0</v>
      </c>
      <c r="X154" s="34"/>
      <c r="Y154" s="3">
        <v>150272754.94999999</v>
      </c>
    </row>
    <row r="155" spans="1:25" x14ac:dyDescent="0.3">
      <c r="A155" s="7">
        <v>29495</v>
      </c>
      <c r="B155" s="2">
        <f t="shared" si="2"/>
        <v>7579</v>
      </c>
      <c r="C155" s="3">
        <f>3039072.7+41409.02</f>
        <v>3080481.72</v>
      </c>
      <c r="D155" s="3">
        <v>31096602.629999999</v>
      </c>
      <c r="E155" s="3">
        <v>468733.01</v>
      </c>
      <c r="F155" s="4">
        <v>2108363.27</v>
      </c>
      <c r="G155" s="3">
        <v>13932319.710000001</v>
      </c>
      <c r="H155" s="4">
        <v>2556149.52</v>
      </c>
      <c r="I155" s="3">
        <v>6397402.79</v>
      </c>
      <c r="J155" s="3">
        <v>835511.69</v>
      </c>
      <c r="K155" s="4">
        <v>4709937.05</v>
      </c>
      <c r="L155" s="3">
        <v>262475.40999999997</v>
      </c>
      <c r="M155" s="3">
        <v>1058015.01</v>
      </c>
      <c r="N155" s="3">
        <v>90441.38</v>
      </c>
      <c r="O155" s="34">
        <v>2835942.62</v>
      </c>
      <c r="P155" s="34">
        <v>7611120.2800000003</v>
      </c>
      <c r="Q155" s="34" t="s">
        <v>25</v>
      </c>
      <c r="R155" s="4">
        <v>2462713.84</v>
      </c>
      <c r="S155" s="3">
        <v>85244924.609999999</v>
      </c>
      <c r="T155" s="8">
        <v>2723110.43</v>
      </c>
      <c r="U155" s="4">
        <v>162665.09</v>
      </c>
      <c r="V155" s="4">
        <v>42395.35</v>
      </c>
      <c r="W155" s="23">
        <v>0</v>
      </c>
      <c r="X155" s="34"/>
      <c r="Y155" s="4">
        <v>167516640.31999999</v>
      </c>
    </row>
    <row r="156" spans="1:25" x14ac:dyDescent="0.3">
      <c r="A156" s="7">
        <v>29526</v>
      </c>
      <c r="B156" s="2">
        <f t="shared" si="2"/>
        <v>7610</v>
      </c>
      <c r="C156" s="3">
        <f>1064840.55+21536.82</f>
        <v>1086377.3700000001</v>
      </c>
      <c r="D156" s="3">
        <v>7589779.8499999996</v>
      </c>
      <c r="E156" s="3">
        <v>162665.79</v>
      </c>
      <c r="F156" s="4">
        <v>2199515.33</v>
      </c>
      <c r="G156" s="3">
        <v>12999376.140000001</v>
      </c>
      <c r="H156" s="4">
        <v>2652250.4900000002</v>
      </c>
      <c r="I156" s="3">
        <v>5988748.6100000003</v>
      </c>
      <c r="J156" s="3">
        <v>768728.86</v>
      </c>
      <c r="K156" s="4">
        <v>4971855.67</v>
      </c>
      <c r="L156" s="3">
        <v>218528.25</v>
      </c>
      <c r="M156" s="3">
        <v>1171273.52</v>
      </c>
      <c r="N156" s="3">
        <v>41694.769999999997</v>
      </c>
      <c r="O156" s="34">
        <v>2924327.09</v>
      </c>
      <c r="P156" s="34">
        <v>7577023.9800000004</v>
      </c>
      <c r="Q156" s="34" t="s">
        <v>25</v>
      </c>
      <c r="R156" s="4">
        <v>2580298.0299999998</v>
      </c>
      <c r="S156" s="3">
        <v>85611908.799999997</v>
      </c>
      <c r="T156" s="4">
        <v>2734193.29</v>
      </c>
      <c r="U156" s="4">
        <v>213233.14</v>
      </c>
      <c r="V156" s="4">
        <v>37538.9</v>
      </c>
      <c r="W156" s="23">
        <v>0</v>
      </c>
      <c r="X156" s="34"/>
      <c r="Y156" s="3">
        <v>141316084.74000001</v>
      </c>
    </row>
    <row r="157" spans="1:25" x14ac:dyDescent="0.3">
      <c r="A157" s="7">
        <v>29556</v>
      </c>
      <c r="B157" s="2">
        <f t="shared" si="2"/>
        <v>7640</v>
      </c>
      <c r="C157" s="3">
        <f>1680521.76+34389.18</f>
        <v>1714910.94</v>
      </c>
      <c r="D157" s="3">
        <v>5905973.9299999997</v>
      </c>
      <c r="E157" s="3">
        <v>649173.51</v>
      </c>
      <c r="F157" s="4">
        <v>1798268.56</v>
      </c>
      <c r="G157" s="3">
        <v>13577887.460000001</v>
      </c>
      <c r="H157" s="4">
        <v>2742758.96</v>
      </c>
      <c r="I157" s="3">
        <v>6545814.5999999996</v>
      </c>
      <c r="J157" s="3">
        <v>702248.03</v>
      </c>
      <c r="K157" s="4">
        <v>5449516.75</v>
      </c>
      <c r="L157" s="3">
        <v>221275.26</v>
      </c>
      <c r="M157" s="3">
        <v>1136749.8700000001</v>
      </c>
      <c r="N157" s="3">
        <v>82370.899999999994</v>
      </c>
      <c r="O157" s="34">
        <v>2303928.02</v>
      </c>
      <c r="P157" s="34">
        <v>7106714.71</v>
      </c>
      <c r="Q157" s="34" t="s">
        <v>25</v>
      </c>
      <c r="R157" s="4">
        <v>2666888.0499999998</v>
      </c>
      <c r="S157" s="3">
        <v>87257854.920000002</v>
      </c>
      <c r="T157" s="4">
        <v>2881639.28</v>
      </c>
      <c r="U157" s="4">
        <v>163053.29</v>
      </c>
      <c r="V157" s="4">
        <v>36820.57</v>
      </c>
      <c r="W157" s="23">
        <v>0</v>
      </c>
      <c r="X157" s="34"/>
      <c r="Y157" s="3">
        <v>142780794.31999999</v>
      </c>
    </row>
    <row r="158" spans="1:25" x14ac:dyDescent="0.3">
      <c r="A158" s="7">
        <v>29587</v>
      </c>
      <c r="B158" s="2">
        <f t="shared" si="2"/>
        <v>7671</v>
      </c>
      <c r="C158" s="3">
        <f>2144191.77+37426.05</f>
        <v>2181617.8199999998</v>
      </c>
      <c r="D158" s="3">
        <v>30525077.760000002</v>
      </c>
      <c r="E158" s="3">
        <v>830876.68</v>
      </c>
      <c r="F158" s="4">
        <v>2343370.81</v>
      </c>
      <c r="G158" s="3">
        <v>13422244.949999999</v>
      </c>
      <c r="H158" s="4">
        <v>2654323.34</v>
      </c>
      <c r="I158" s="3">
        <v>5810362.4100000001</v>
      </c>
      <c r="J158" s="3">
        <v>658702.29</v>
      </c>
      <c r="K158" s="4">
        <v>5416536.5099999998</v>
      </c>
      <c r="L158" s="3">
        <v>227408.3</v>
      </c>
      <c r="M158" s="3">
        <v>1255958.48</v>
      </c>
      <c r="N158" s="3">
        <v>64851.34</v>
      </c>
      <c r="O158" s="34">
        <v>2551893.67</v>
      </c>
      <c r="P158" s="34">
        <v>7697864.7199999997</v>
      </c>
      <c r="Q158" s="34" t="s">
        <v>25</v>
      </c>
      <c r="R158" s="4">
        <v>3853283.04</v>
      </c>
      <c r="S158" s="3">
        <v>98276139.5</v>
      </c>
      <c r="T158" s="4">
        <v>3451972.78</v>
      </c>
      <c r="U158" s="4">
        <v>150723.07</v>
      </c>
      <c r="V158" s="4">
        <v>44721.33</v>
      </c>
      <c r="W158" s="23">
        <v>0</v>
      </c>
      <c r="X158" s="34"/>
      <c r="Y158" s="3">
        <v>181267205.72999999</v>
      </c>
    </row>
    <row r="159" spans="1:25" x14ac:dyDescent="0.3">
      <c r="A159" s="7">
        <v>29618</v>
      </c>
      <c r="B159" s="2">
        <f t="shared" si="2"/>
        <v>7702</v>
      </c>
      <c r="C159" s="3">
        <f>1867429.64+29076.6</f>
        <v>1896506.24</v>
      </c>
      <c r="D159" s="3">
        <v>6321321.2800000003</v>
      </c>
      <c r="E159" s="3">
        <v>1172307.04</v>
      </c>
      <c r="F159" s="4">
        <v>1875417.81</v>
      </c>
      <c r="G159" s="3">
        <v>13082014.67</v>
      </c>
      <c r="H159" s="4">
        <v>2523092.85</v>
      </c>
      <c r="I159" s="3">
        <v>5721368.25</v>
      </c>
      <c r="J159" s="3">
        <v>801404.37</v>
      </c>
      <c r="K159" s="4">
        <v>5918850.4299999997</v>
      </c>
      <c r="L159" s="3">
        <v>219541.74</v>
      </c>
      <c r="M159" s="3">
        <v>1116361.07</v>
      </c>
      <c r="N159" s="3">
        <v>68510.960000000006</v>
      </c>
      <c r="O159" s="34">
        <v>2208514.27</v>
      </c>
      <c r="P159" s="34">
        <v>7509001.4500000002</v>
      </c>
      <c r="Q159" s="34" t="s">
        <v>25</v>
      </c>
      <c r="R159" s="4">
        <v>2053717.08</v>
      </c>
      <c r="S159" s="3">
        <v>81731974.640000001</v>
      </c>
      <c r="T159" s="4">
        <v>2082406.81</v>
      </c>
      <c r="U159" s="4">
        <v>176862.63</v>
      </c>
      <c r="V159" s="4">
        <v>41928.28</v>
      </c>
      <c r="W159" s="23">
        <v>0</v>
      </c>
      <c r="X159" s="34"/>
      <c r="Y159" s="3">
        <v>136344239.24000001</v>
      </c>
    </row>
    <row r="160" spans="1:25" x14ac:dyDescent="0.3">
      <c r="A160" s="7">
        <v>29646</v>
      </c>
      <c r="B160" s="2">
        <f t="shared" si="2"/>
        <v>7730</v>
      </c>
      <c r="C160" s="3">
        <f>11054616.02+156799.63</f>
        <v>11211415.65</v>
      </c>
      <c r="D160" s="3">
        <v>15235172.16</v>
      </c>
      <c r="E160" s="3">
        <v>2822948.45</v>
      </c>
      <c r="F160" s="4">
        <v>3544208.99</v>
      </c>
      <c r="G160" s="3">
        <v>10921657.710000001</v>
      </c>
      <c r="H160" s="4">
        <v>2218561.37</v>
      </c>
      <c r="I160" s="3">
        <v>6575985.9500000002</v>
      </c>
      <c r="J160" s="3">
        <v>632462.02</v>
      </c>
      <c r="K160" s="4">
        <v>13896643.66</v>
      </c>
      <c r="L160" s="3">
        <v>308904.52</v>
      </c>
      <c r="M160" s="3">
        <v>1124409.97</v>
      </c>
      <c r="N160" s="3">
        <v>201527</v>
      </c>
      <c r="O160" s="34">
        <v>1974437.51</v>
      </c>
      <c r="P160" s="34">
        <v>7169902.6600000001</v>
      </c>
      <c r="Q160" s="34" t="s">
        <v>25</v>
      </c>
      <c r="R160" s="4">
        <v>1968863.89</v>
      </c>
      <c r="S160" s="3">
        <v>80118309.890000001</v>
      </c>
      <c r="T160" s="4">
        <v>3005378.01</v>
      </c>
      <c r="U160" s="4">
        <v>170353.77</v>
      </c>
      <c r="V160" s="4">
        <v>44459.86</v>
      </c>
      <c r="W160" s="23">
        <v>0</v>
      </c>
      <c r="X160" s="34"/>
      <c r="Y160" s="3">
        <v>162975249.27000001</v>
      </c>
    </row>
    <row r="161" spans="1:25" x14ac:dyDescent="0.3">
      <c r="A161" s="7">
        <v>29677</v>
      </c>
      <c r="B161" s="2">
        <f t="shared" si="2"/>
        <v>7761</v>
      </c>
      <c r="C161" s="3">
        <f>16339518.25+116466.58</f>
        <v>16455984.83</v>
      </c>
      <c r="D161" s="3">
        <v>38593563.25</v>
      </c>
      <c r="E161" s="3">
        <v>26715159.23</v>
      </c>
      <c r="F161" s="4">
        <v>2001423.13</v>
      </c>
      <c r="G161" s="8">
        <v>12738692.34</v>
      </c>
      <c r="H161" s="4">
        <v>2516367.62</v>
      </c>
      <c r="I161" s="3">
        <v>6698180.4800000004</v>
      </c>
      <c r="J161" s="9">
        <v>934776.52</v>
      </c>
      <c r="K161" s="4">
        <v>17140148.960000001</v>
      </c>
      <c r="L161" s="3">
        <v>308419.19</v>
      </c>
      <c r="M161" s="3">
        <v>1285529.97</v>
      </c>
      <c r="N161" s="3">
        <v>132341.26</v>
      </c>
      <c r="O161" s="34">
        <v>2389623.9900000002</v>
      </c>
      <c r="P161" s="34">
        <v>7764256.25</v>
      </c>
      <c r="Q161" s="34" t="s">
        <v>25</v>
      </c>
      <c r="R161" s="4">
        <v>2518958.9</v>
      </c>
      <c r="S161" s="3">
        <v>88417480.140000001</v>
      </c>
      <c r="T161" s="4">
        <v>2651397.54</v>
      </c>
      <c r="U161" s="4">
        <v>177558.53</v>
      </c>
      <c r="V161" s="4">
        <v>48461.75</v>
      </c>
      <c r="W161" s="23">
        <v>0</v>
      </c>
      <c r="X161" s="34"/>
      <c r="Y161" s="3">
        <v>229310765.34999999</v>
      </c>
    </row>
    <row r="162" spans="1:25" x14ac:dyDescent="0.3">
      <c r="A162" s="7">
        <v>29707</v>
      </c>
      <c r="B162" s="2">
        <f t="shared" si="2"/>
        <v>7791</v>
      </c>
      <c r="C162" s="3">
        <f>1333212.11+24948</f>
        <v>1358160.11</v>
      </c>
      <c r="D162" s="3">
        <v>6673694.8399999999</v>
      </c>
      <c r="E162" s="3">
        <v>578659.49</v>
      </c>
      <c r="F162" s="4">
        <v>1741967.46</v>
      </c>
      <c r="G162" s="3">
        <v>13002923.960000001</v>
      </c>
      <c r="H162" s="4">
        <v>2480080.83</v>
      </c>
      <c r="I162" s="3">
        <v>6466618.7199999997</v>
      </c>
      <c r="J162" s="3">
        <v>980713.11</v>
      </c>
      <c r="K162" s="4">
        <v>11140931.039999999</v>
      </c>
      <c r="L162" s="3">
        <v>284253.83</v>
      </c>
      <c r="M162" s="3">
        <v>1256781.08</v>
      </c>
      <c r="N162" s="3">
        <v>113373.59</v>
      </c>
      <c r="O162" s="34">
        <v>2567086.21</v>
      </c>
      <c r="P162" s="34">
        <v>7533859.8799999999</v>
      </c>
      <c r="Q162" s="34" t="s">
        <v>25</v>
      </c>
      <c r="R162" s="4">
        <v>2583294.09</v>
      </c>
      <c r="S162" s="3">
        <v>89737385.349999994</v>
      </c>
      <c r="T162" s="4">
        <v>2786576.74</v>
      </c>
      <c r="U162" s="4">
        <v>171715.05</v>
      </c>
      <c r="V162" s="4">
        <v>43625.9</v>
      </c>
      <c r="W162" s="23">
        <v>0</v>
      </c>
      <c r="X162" s="34"/>
      <c r="Y162" s="3">
        <v>151329986.22999999</v>
      </c>
    </row>
    <row r="163" spans="1:25" x14ac:dyDescent="0.3">
      <c r="A163" s="7">
        <v>29738</v>
      </c>
      <c r="B163" s="2">
        <f t="shared" si="2"/>
        <v>7822</v>
      </c>
      <c r="C163" s="3">
        <f>1546016.77+38895.28</f>
        <v>1584912.05</v>
      </c>
      <c r="D163" s="3">
        <v>7597284.9100000001</v>
      </c>
      <c r="E163" s="3">
        <v>1260772.24</v>
      </c>
      <c r="F163" s="4">
        <v>2486397.2999999998</v>
      </c>
      <c r="G163" s="3">
        <v>14098902.23</v>
      </c>
      <c r="H163" s="4">
        <v>2764662.14</v>
      </c>
      <c r="I163" s="3">
        <v>6928523.8600000003</v>
      </c>
      <c r="J163" s="3">
        <v>993809.67</v>
      </c>
      <c r="K163" s="4">
        <v>7653177.0499999998</v>
      </c>
      <c r="L163" s="3">
        <v>280929.2</v>
      </c>
      <c r="M163" s="3">
        <v>1334657.1000000001</v>
      </c>
      <c r="N163" s="3">
        <v>4276344.12</v>
      </c>
      <c r="O163" s="34">
        <v>2566209.69</v>
      </c>
      <c r="P163" s="34">
        <v>7178598.9800000004</v>
      </c>
      <c r="Q163" s="34" t="s">
        <v>25</v>
      </c>
      <c r="R163" s="4">
        <v>2122833.38</v>
      </c>
      <c r="S163" s="3">
        <v>89244829.950000003</v>
      </c>
      <c r="T163" s="4">
        <v>2730144.55</v>
      </c>
      <c r="U163" s="4">
        <v>168262.68</v>
      </c>
      <c r="V163" s="4">
        <v>48140.2</v>
      </c>
      <c r="W163" s="23">
        <v>0</v>
      </c>
      <c r="X163" s="34"/>
      <c r="Y163" s="3">
        <v>155151128.62</v>
      </c>
    </row>
    <row r="164" spans="1:25" x14ac:dyDescent="0.3">
      <c r="A164" s="7">
        <v>29768</v>
      </c>
      <c r="B164" s="2">
        <f t="shared" si="2"/>
        <v>7852</v>
      </c>
      <c r="C164" s="3">
        <f>1664282.19+33089.3</f>
        <v>1697371.49</v>
      </c>
      <c r="D164" s="3">
        <v>31468162.84</v>
      </c>
      <c r="E164" s="3">
        <v>410921.65</v>
      </c>
      <c r="F164" s="4">
        <v>1971176.64</v>
      </c>
      <c r="G164" s="3">
        <v>17867231.859999999</v>
      </c>
      <c r="H164" s="4">
        <v>2355006.9900000002</v>
      </c>
      <c r="I164" s="3">
        <v>6922394.9199999999</v>
      </c>
      <c r="J164" s="3">
        <v>956458.22</v>
      </c>
      <c r="K164" s="4">
        <v>8309286.9400000004</v>
      </c>
      <c r="L164" s="3">
        <v>271328.98</v>
      </c>
      <c r="M164" s="3">
        <v>1262366.1399999999</v>
      </c>
      <c r="N164" s="3">
        <v>239188.59</v>
      </c>
      <c r="O164" s="34">
        <v>2649232.58</v>
      </c>
      <c r="P164" s="34">
        <v>10421236.48</v>
      </c>
      <c r="Q164" s="34" t="s">
        <v>25</v>
      </c>
      <c r="R164" s="4">
        <v>2299852.11</v>
      </c>
      <c r="S164" s="3">
        <v>93538065.680000007</v>
      </c>
      <c r="T164" s="4">
        <v>4374640.3899999997</v>
      </c>
      <c r="U164" s="4">
        <v>172316.12</v>
      </c>
      <c r="V164" s="4">
        <v>43730.7</v>
      </c>
      <c r="W164" s="23">
        <v>0</v>
      </c>
      <c r="X164" s="34"/>
      <c r="Y164" s="3">
        <v>187057653.19999999</v>
      </c>
    </row>
    <row r="165" spans="1:25" x14ac:dyDescent="0.3">
      <c r="A165" s="7">
        <v>29799</v>
      </c>
      <c r="B165" s="2">
        <f t="shared" si="2"/>
        <v>7883</v>
      </c>
      <c r="C165" s="3">
        <f>1663711.72+29781.63</f>
        <v>1693493.3499999999</v>
      </c>
      <c r="D165" s="3">
        <v>5817051.2000000002</v>
      </c>
      <c r="E165" s="3">
        <v>549555.02</v>
      </c>
      <c r="F165" s="4">
        <v>1727872.89</v>
      </c>
      <c r="G165" s="3">
        <v>17999340.25</v>
      </c>
      <c r="H165" s="4">
        <v>2659572.69</v>
      </c>
      <c r="I165" s="3">
        <v>6654113.9299999997</v>
      </c>
      <c r="J165" s="3">
        <v>1243814.28</v>
      </c>
      <c r="K165" s="4">
        <v>5700595.7699999996</v>
      </c>
      <c r="L165" s="3">
        <v>279220.81</v>
      </c>
      <c r="M165" s="3">
        <v>1309225.19</v>
      </c>
      <c r="N165" s="3">
        <v>68742.8</v>
      </c>
      <c r="O165" s="34">
        <v>2668319.33</v>
      </c>
      <c r="P165" s="34">
        <v>14213902.66</v>
      </c>
      <c r="Q165" s="34" t="s">
        <v>25</v>
      </c>
      <c r="R165" s="4">
        <v>2373412.61</v>
      </c>
      <c r="S165" s="3">
        <v>93139734.530000001</v>
      </c>
      <c r="T165" s="4">
        <v>4110465.99</v>
      </c>
      <c r="U165" s="4">
        <v>158611.26</v>
      </c>
      <c r="V165" s="4">
        <v>46230.45</v>
      </c>
      <c r="W165" s="23">
        <v>0</v>
      </c>
      <c r="X165" s="34"/>
      <c r="Y165" s="3">
        <v>162254663.75</v>
      </c>
    </row>
    <row r="166" spans="1:25" x14ac:dyDescent="0.3">
      <c r="A166" s="7">
        <v>29830</v>
      </c>
      <c r="B166" s="2">
        <f t="shared" si="2"/>
        <v>7914</v>
      </c>
      <c r="C166" s="3">
        <f>2544348.65+45094.81</f>
        <v>2589443.46</v>
      </c>
      <c r="D166" s="3">
        <v>10201393.27</v>
      </c>
      <c r="E166" s="3">
        <v>461148.43</v>
      </c>
      <c r="F166" s="4">
        <v>2179730</v>
      </c>
      <c r="G166" s="3">
        <v>18292181.129999999</v>
      </c>
      <c r="H166" s="4">
        <v>2596640.2799999998</v>
      </c>
      <c r="I166" s="3">
        <v>6609221.0300000003</v>
      </c>
      <c r="J166" s="3">
        <v>1068955.6599999999</v>
      </c>
      <c r="K166" s="4">
        <v>5036413.95</v>
      </c>
      <c r="L166" s="3">
        <v>265697.02</v>
      </c>
      <c r="M166" s="3">
        <v>1345846.32</v>
      </c>
      <c r="N166" s="3">
        <v>183401.06</v>
      </c>
      <c r="O166" s="34">
        <v>2642443.34</v>
      </c>
      <c r="P166" s="34">
        <v>9117346.7599999998</v>
      </c>
      <c r="Q166" s="34" t="s">
        <v>25</v>
      </c>
      <c r="R166" s="4">
        <v>2189099.2799999998</v>
      </c>
      <c r="S166" s="3">
        <v>92610124.260000005</v>
      </c>
      <c r="T166" s="4">
        <v>4136142.41</v>
      </c>
      <c r="U166" s="4">
        <v>202693.32</v>
      </c>
      <c r="V166" s="4">
        <v>39498.35</v>
      </c>
      <c r="W166" s="23">
        <v>0</v>
      </c>
      <c r="X166" s="34"/>
      <c r="Y166" s="3">
        <v>161564726.00999999</v>
      </c>
    </row>
    <row r="167" spans="1:25" x14ac:dyDescent="0.3">
      <c r="A167" s="7">
        <v>29860</v>
      </c>
      <c r="B167" s="2">
        <f t="shared" si="2"/>
        <v>7944</v>
      </c>
      <c r="C167" s="3">
        <f>2755911.09+43304.98</f>
        <v>2799216.07</v>
      </c>
      <c r="D167" s="3">
        <v>33503435.239999998</v>
      </c>
      <c r="E167" s="3">
        <v>610933.18999999994</v>
      </c>
      <c r="F167" s="4">
        <v>2627979.44</v>
      </c>
      <c r="G167" s="3">
        <v>17437996.649999999</v>
      </c>
      <c r="H167" s="4">
        <v>2600382.69</v>
      </c>
      <c r="I167" s="3">
        <v>6270039.3499999996</v>
      </c>
      <c r="J167" s="3">
        <v>872454.01</v>
      </c>
      <c r="K167" s="4">
        <v>5164452.4000000004</v>
      </c>
      <c r="L167" s="3">
        <v>252641.69</v>
      </c>
      <c r="M167" s="3">
        <v>1316024.3200000001</v>
      </c>
      <c r="N167" s="3">
        <v>154804.28</v>
      </c>
      <c r="O167" s="34">
        <v>2214770.21</v>
      </c>
      <c r="P167" s="34">
        <v>9574781.7200000007</v>
      </c>
      <c r="Q167" s="34" t="s">
        <v>25</v>
      </c>
      <c r="R167" s="4">
        <v>2451200.2400000002</v>
      </c>
      <c r="S167" s="3">
        <v>93300252.069999993</v>
      </c>
      <c r="T167" s="8">
        <v>4751705.88</v>
      </c>
      <c r="U167" s="4">
        <v>208178.37</v>
      </c>
      <c r="V167" s="4">
        <v>39758.19</v>
      </c>
      <c r="W167" s="23">
        <v>0</v>
      </c>
      <c r="X167" s="34"/>
      <c r="Y167" s="4">
        <v>185942827.63999999</v>
      </c>
    </row>
    <row r="168" spans="1:25" x14ac:dyDescent="0.3">
      <c r="A168" s="7">
        <v>29891</v>
      </c>
      <c r="B168" s="2">
        <f t="shared" si="2"/>
        <v>7975</v>
      </c>
      <c r="C168" s="3">
        <f>1278000.16+23709.19</f>
        <v>1301709.3499999999</v>
      </c>
      <c r="D168" s="3">
        <v>6983566.8799999999</v>
      </c>
      <c r="E168" s="3">
        <v>287094.93</v>
      </c>
      <c r="F168" s="4">
        <v>2240577.02</v>
      </c>
      <c r="G168" s="3">
        <v>17185077.789999999</v>
      </c>
      <c r="H168" s="4">
        <v>2607631.56</v>
      </c>
      <c r="I168" s="3">
        <v>6412059.3399999999</v>
      </c>
      <c r="J168" s="3">
        <v>920408.03</v>
      </c>
      <c r="K168" s="4">
        <v>5159225.2300000004</v>
      </c>
      <c r="L168" s="3">
        <v>223997.28</v>
      </c>
      <c r="M168" s="3">
        <v>1424572.97</v>
      </c>
      <c r="N168" s="3">
        <v>122633.06</v>
      </c>
      <c r="O168" s="34">
        <v>2425193.2400000002</v>
      </c>
      <c r="P168" s="34">
        <v>12513131.939999999</v>
      </c>
      <c r="Q168" s="34" t="s">
        <v>25</v>
      </c>
      <c r="R168" s="4">
        <v>2548972.9</v>
      </c>
      <c r="S168" s="3">
        <v>92701212.849999994</v>
      </c>
      <c r="T168" s="4">
        <v>4659699.6100000003</v>
      </c>
      <c r="U168" s="4">
        <v>222173.56</v>
      </c>
      <c r="V168" s="4">
        <v>42932.09</v>
      </c>
      <c r="W168" s="23">
        <v>0</v>
      </c>
      <c r="X168" s="34"/>
      <c r="Y168" s="3">
        <v>159759696.06999999</v>
      </c>
    </row>
    <row r="169" spans="1:25" x14ac:dyDescent="0.3">
      <c r="A169" s="7">
        <v>29921</v>
      </c>
      <c r="B169" s="2">
        <f t="shared" si="2"/>
        <v>8005</v>
      </c>
      <c r="C169" s="3">
        <f>2038294.19+37272.72</f>
        <v>2075566.91</v>
      </c>
      <c r="D169" s="3">
        <v>7924232.1799999997</v>
      </c>
      <c r="E169" s="3">
        <v>2686653.67</v>
      </c>
      <c r="F169" s="4">
        <v>2042736.85</v>
      </c>
      <c r="G169" s="3">
        <v>14759766.25</v>
      </c>
      <c r="H169" s="4">
        <v>2358879.88</v>
      </c>
      <c r="I169" s="3">
        <v>6563784.4500000002</v>
      </c>
      <c r="J169" s="3">
        <v>779334.48</v>
      </c>
      <c r="K169" s="4">
        <v>5058781.8899999997</v>
      </c>
      <c r="L169" s="3">
        <v>211226.82</v>
      </c>
      <c r="M169" s="3">
        <v>1280466.75</v>
      </c>
      <c r="N169" s="3">
        <v>124816.45</v>
      </c>
      <c r="O169" s="34">
        <v>2209509.36</v>
      </c>
      <c r="P169" s="34">
        <v>8796536.7699999996</v>
      </c>
      <c r="Q169" s="34" t="s">
        <v>25</v>
      </c>
      <c r="R169" s="4">
        <v>2762167.82</v>
      </c>
      <c r="S169" s="3">
        <v>90389604.950000003</v>
      </c>
      <c r="T169" s="4">
        <v>3461001.62</v>
      </c>
      <c r="U169" s="4">
        <v>167666.96</v>
      </c>
      <c r="V169" s="4">
        <v>46619.61</v>
      </c>
      <c r="W169" s="23">
        <v>0</v>
      </c>
      <c r="X169" s="34"/>
      <c r="Y169" s="3">
        <v>153531686.71000001</v>
      </c>
    </row>
    <row r="170" spans="1:25" x14ac:dyDescent="0.3">
      <c r="A170" s="7">
        <v>29952</v>
      </c>
      <c r="B170" s="2">
        <f t="shared" si="2"/>
        <v>8036</v>
      </c>
      <c r="C170" s="3">
        <f>2051906.49+33555.17</f>
        <v>2085461.66</v>
      </c>
      <c r="D170" s="3">
        <v>26789069.469999999</v>
      </c>
      <c r="E170" s="3">
        <v>2977775.71</v>
      </c>
      <c r="F170" s="4">
        <v>2161290.87</v>
      </c>
      <c r="G170" s="3">
        <v>18179347.920000002</v>
      </c>
      <c r="H170" s="4">
        <v>2785787.38</v>
      </c>
      <c r="I170" s="3">
        <v>6005048.8099999996</v>
      </c>
      <c r="J170" s="3">
        <v>753840.43</v>
      </c>
      <c r="K170" s="4">
        <v>4401275.0999999996</v>
      </c>
      <c r="L170" s="3">
        <v>190601.44</v>
      </c>
      <c r="M170" s="3">
        <v>1467483.22</v>
      </c>
      <c r="N170" s="3">
        <v>86831.44</v>
      </c>
      <c r="O170" s="34">
        <v>2331522.67</v>
      </c>
      <c r="P170" s="34">
        <v>9137742.1899999995</v>
      </c>
      <c r="Q170" s="34" t="s">
        <v>25</v>
      </c>
      <c r="R170" s="4">
        <v>3700997.45</v>
      </c>
      <c r="S170" s="3">
        <v>103055595.7</v>
      </c>
      <c r="T170" s="4">
        <v>4643961.7300000004</v>
      </c>
      <c r="U170" s="9">
        <v>146714.32</v>
      </c>
      <c r="V170" s="4">
        <v>47402.06</v>
      </c>
      <c r="W170" s="23">
        <v>0</v>
      </c>
      <c r="X170" s="34"/>
      <c r="Y170" s="3">
        <v>190801035.25</v>
      </c>
    </row>
    <row r="171" spans="1:25" x14ac:dyDescent="0.3">
      <c r="A171" s="7">
        <v>29983</v>
      </c>
      <c r="B171" s="2">
        <f t="shared" si="2"/>
        <v>8067</v>
      </c>
      <c r="C171" s="3">
        <f>1720391.06+34012.63</f>
        <v>1754403.69</v>
      </c>
      <c r="D171" s="3">
        <v>7166893.4400000004</v>
      </c>
      <c r="E171" s="3">
        <v>1428093.94</v>
      </c>
      <c r="F171" s="4">
        <v>1912441.83</v>
      </c>
      <c r="G171" s="3">
        <v>16265969.140000001</v>
      </c>
      <c r="H171" s="4">
        <v>2372741.4900000002</v>
      </c>
      <c r="I171" s="3">
        <v>5415121.1799999997</v>
      </c>
      <c r="J171" s="3">
        <v>1004752.99</v>
      </c>
      <c r="K171" s="4">
        <v>7095608.0099999998</v>
      </c>
      <c r="L171" s="3">
        <v>227120.92</v>
      </c>
      <c r="M171" s="3">
        <v>1209366.07</v>
      </c>
      <c r="N171" s="8">
        <v>102754.22</v>
      </c>
      <c r="O171" s="34">
        <v>2135410.2999999998</v>
      </c>
      <c r="P171" s="34">
        <v>13094641.33</v>
      </c>
      <c r="Q171" s="34" t="s">
        <v>25</v>
      </c>
      <c r="R171" s="4">
        <v>1936966.26</v>
      </c>
      <c r="S171" s="3">
        <v>81024922</v>
      </c>
      <c r="T171" s="4">
        <v>2025803.56</v>
      </c>
      <c r="U171" s="4">
        <v>122969.2</v>
      </c>
      <c r="V171" s="4">
        <v>38506.129999999997</v>
      </c>
      <c r="W171" s="23">
        <v>0</v>
      </c>
      <c r="X171" s="34"/>
      <c r="Y171" s="3">
        <v>146211516.5</v>
      </c>
    </row>
    <row r="172" spans="1:25" x14ac:dyDescent="0.3">
      <c r="A172" s="7">
        <v>30011</v>
      </c>
      <c r="B172" s="2">
        <f t="shared" si="2"/>
        <v>8095</v>
      </c>
      <c r="C172" s="3">
        <f>12730164.84+162214.37</f>
        <v>12892379.209999999</v>
      </c>
      <c r="D172" s="3">
        <v>17581400.210000001</v>
      </c>
      <c r="E172" s="3">
        <v>3459486.14</v>
      </c>
      <c r="F172" s="4">
        <v>3049651.76</v>
      </c>
      <c r="G172" s="3">
        <v>11990112.779999999</v>
      </c>
      <c r="H172" s="4">
        <v>1775423.53</v>
      </c>
      <c r="I172" s="3">
        <v>7110928.9400000004</v>
      </c>
      <c r="J172" s="3">
        <v>891151.72</v>
      </c>
      <c r="K172" s="4">
        <v>16544578.07</v>
      </c>
      <c r="L172" s="3">
        <v>325016.09999999998</v>
      </c>
      <c r="M172" s="3">
        <v>1262560.72</v>
      </c>
      <c r="N172" s="3">
        <v>251206.36</v>
      </c>
      <c r="O172" s="34">
        <v>2023533.84</v>
      </c>
      <c r="P172" s="34">
        <v>8780884.0899999999</v>
      </c>
      <c r="Q172" s="34" t="s">
        <v>25</v>
      </c>
      <c r="R172" s="4">
        <v>2285890.84</v>
      </c>
      <c r="S172" s="3">
        <v>83844373.659999996</v>
      </c>
      <c r="T172" s="4">
        <v>4203891.6500000004</v>
      </c>
      <c r="U172" s="4">
        <v>145698.07999999999</v>
      </c>
      <c r="V172" s="4">
        <v>35356.050000000003</v>
      </c>
      <c r="W172" s="23">
        <v>0</v>
      </c>
      <c r="X172" s="34"/>
      <c r="Y172" s="3">
        <v>178307825.66999999</v>
      </c>
    </row>
    <row r="173" spans="1:25" x14ac:dyDescent="0.3">
      <c r="A173" s="7">
        <v>30042</v>
      </c>
      <c r="B173" s="2">
        <f t="shared" si="2"/>
        <v>8126</v>
      </c>
      <c r="C173" s="3">
        <f>17515497.55+129354.21</f>
        <v>17644851.760000002</v>
      </c>
      <c r="D173" s="3">
        <v>41904154.340000004</v>
      </c>
      <c r="E173" s="3">
        <v>29258044.170000002</v>
      </c>
      <c r="F173" s="4">
        <v>2325039.66</v>
      </c>
      <c r="G173" s="8">
        <v>16952335.559999999</v>
      </c>
      <c r="H173" s="4">
        <v>2433524.7599999998</v>
      </c>
      <c r="I173" s="3">
        <v>6569940.5800000001</v>
      </c>
      <c r="J173" s="9">
        <v>913708.07</v>
      </c>
      <c r="K173" s="4">
        <v>21934842.699999999</v>
      </c>
      <c r="L173" s="3">
        <v>324632.05</v>
      </c>
      <c r="M173" s="3">
        <v>1397456.71</v>
      </c>
      <c r="N173" s="3">
        <v>242036.78</v>
      </c>
      <c r="O173" s="34">
        <v>2260344.2000000002</v>
      </c>
      <c r="P173" s="34">
        <v>9532833.3900000006</v>
      </c>
      <c r="Q173" s="34" t="s">
        <v>25</v>
      </c>
      <c r="R173" s="4">
        <v>2645243.0299999998</v>
      </c>
      <c r="S173" s="3">
        <v>93321610.329999998</v>
      </c>
      <c r="T173" s="4">
        <v>4695362.68</v>
      </c>
      <c r="U173" s="4">
        <v>160413.57999999999</v>
      </c>
      <c r="V173" s="4">
        <v>40393.33</v>
      </c>
      <c r="W173" s="23">
        <v>0</v>
      </c>
      <c r="X173" s="34"/>
      <c r="Y173" s="3">
        <v>254396354.09999999</v>
      </c>
    </row>
    <row r="174" spans="1:25" x14ac:dyDescent="0.3">
      <c r="A174" s="7">
        <v>30072</v>
      </c>
      <c r="B174" s="2">
        <f t="shared" si="2"/>
        <v>8156</v>
      </c>
      <c r="C174" s="3">
        <f>1350029.11+25164.61</f>
        <v>1375193.7200000002</v>
      </c>
      <c r="D174" s="3">
        <v>6597717.04</v>
      </c>
      <c r="E174" s="3">
        <v>777472.24</v>
      </c>
      <c r="F174" s="4">
        <v>3811167.32</v>
      </c>
      <c r="G174" s="3">
        <v>16846791.09</v>
      </c>
      <c r="H174" s="4">
        <v>2639177.23</v>
      </c>
      <c r="I174" s="3">
        <v>6522764.3799999999</v>
      </c>
      <c r="J174" s="3">
        <v>1197563.3</v>
      </c>
      <c r="K174" s="4">
        <v>12712603.84</v>
      </c>
      <c r="L174" s="3">
        <v>271747.20000000001</v>
      </c>
      <c r="M174" s="3">
        <v>1419285.41</v>
      </c>
      <c r="N174" s="3">
        <v>135103.89000000001</v>
      </c>
      <c r="O174" s="34">
        <v>2332189.41</v>
      </c>
      <c r="P174" s="34">
        <v>12836768.52</v>
      </c>
      <c r="Q174" s="34" t="s">
        <v>25</v>
      </c>
      <c r="R174" s="4">
        <v>2482507.21</v>
      </c>
      <c r="S174" s="3">
        <v>93328274.709999993</v>
      </c>
      <c r="T174" s="4">
        <v>4470871.34</v>
      </c>
      <c r="U174" s="4">
        <v>160426.54</v>
      </c>
      <c r="V174" s="4">
        <v>45286.9</v>
      </c>
      <c r="W174" s="23">
        <v>0</v>
      </c>
      <c r="X174" s="34"/>
      <c r="Y174" s="3">
        <v>169802484.75</v>
      </c>
    </row>
    <row r="175" spans="1:25" x14ac:dyDescent="0.3">
      <c r="A175" s="7">
        <v>30103</v>
      </c>
      <c r="B175" s="2">
        <f t="shared" si="2"/>
        <v>8187</v>
      </c>
      <c r="C175" s="3">
        <f>2198711.9+47592.92</f>
        <v>2246304.8199999998</v>
      </c>
      <c r="D175" s="3">
        <v>10898057.869999999</v>
      </c>
      <c r="E175" s="3">
        <v>1561785.44</v>
      </c>
      <c r="F175" s="4">
        <v>2589168.14</v>
      </c>
      <c r="G175" s="3">
        <v>17391496.129999999</v>
      </c>
      <c r="H175" s="4">
        <v>2669901.54</v>
      </c>
      <c r="I175" s="3">
        <v>7386486.6399999997</v>
      </c>
      <c r="J175" s="3">
        <v>1349915.48</v>
      </c>
      <c r="K175" s="4">
        <v>8518020.3499999996</v>
      </c>
      <c r="L175" s="3">
        <v>304278.09000000003</v>
      </c>
      <c r="M175" s="3">
        <v>1421167.83</v>
      </c>
      <c r="N175" s="3">
        <v>4178685.52</v>
      </c>
      <c r="O175" s="34">
        <v>2150473.34</v>
      </c>
      <c r="P175" s="34">
        <v>8815112.6099999994</v>
      </c>
      <c r="Q175" s="34" t="s">
        <v>25</v>
      </c>
      <c r="R175" s="4">
        <v>2339970.37</v>
      </c>
      <c r="S175" s="3">
        <v>102382672.18000001</v>
      </c>
      <c r="T175" s="4">
        <v>3589948.74</v>
      </c>
      <c r="U175" s="4">
        <v>123235.11</v>
      </c>
      <c r="V175" s="4">
        <v>55014.2</v>
      </c>
      <c r="W175" s="23">
        <v>0</v>
      </c>
      <c r="X175" s="34"/>
      <c r="Y175" s="3">
        <v>179848459.28999999</v>
      </c>
    </row>
    <row r="176" spans="1:25" x14ac:dyDescent="0.3">
      <c r="A176" s="7">
        <v>30133</v>
      </c>
      <c r="B176" s="2">
        <f t="shared" si="2"/>
        <v>8217</v>
      </c>
      <c r="C176" s="3">
        <f>1853701.07+36219.15</f>
        <v>1889920.22</v>
      </c>
      <c r="D176" s="3">
        <v>29869279.329999998</v>
      </c>
      <c r="E176" s="3">
        <v>662485.77</v>
      </c>
      <c r="F176" s="4">
        <v>2234215.5099999998</v>
      </c>
      <c r="G176" s="3">
        <v>20450236.640000001</v>
      </c>
      <c r="H176" s="4">
        <v>2967482.34</v>
      </c>
      <c r="I176" s="3">
        <v>6847036.2800000003</v>
      </c>
      <c r="J176" s="3">
        <v>1144511.8999999999</v>
      </c>
      <c r="K176" s="4">
        <v>5683308.75</v>
      </c>
      <c r="L176" s="3">
        <v>267574.7</v>
      </c>
      <c r="M176" s="3">
        <v>1514371.46</v>
      </c>
      <c r="N176" s="3">
        <v>372415.9</v>
      </c>
      <c r="O176" s="34">
        <v>2303951.66</v>
      </c>
      <c r="P176" s="34">
        <v>13911861.35</v>
      </c>
      <c r="Q176" s="34" t="s">
        <v>25</v>
      </c>
      <c r="R176" s="4">
        <v>2512012.1</v>
      </c>
      <c r="S176" s="3">
        <v>99713338.099999994</v>
      </c>
      <c r="T176" s="4">
        <v>5312306.79</v>
      </c>
      <c r="U176" s="4">
        <v>114371.25</v>
      </c>
      <c r="V176" s="4">
        <v>54509.86</v>
      </c>
      <c r="W176" s="23">
        <v>0</v>
      </c>
      <c r="X176" s="34"/>
      <c r="Y176" s="3">
        <v>197710818.66</v>
      </c>
    </row>
    <row r="177" spans="1:25" x14ac:dyDescent="0.3">
      <c r="A177" s="7">
        <v>30164</v>
      </c>
      <c r="B177" s="2">
        <f t="shared" si="2"/>
        <v>8248</v>
      </c>
      <c r="C177" s="3">
        <f>1468248.73+34333.37</f>
        <v>1502582.1</v>
      </c>
      <c r="D177" s="3">
        <v>6312848.8700000001</v>
      </c>
      <c r="E177" s="3">
        <v>642330.1</v>
      </c>
      <c r="F177" s="4">
        <v>2469469.92</v>
      </c>
      <c r="G177" s="3">
        <v>17678913.920000002</v>
      </c>
      <c r="H177" s="4">
        <v>2719400.67</v>
      </c>
      <c r="I177" s="3">
        <v>6906957.7999999998</v>
      </c>
      <c r="J177" s="3">
        <v>1095663.73</v>
      </c>
      <c r="K177" s="4">
        <v>4586612.8099999996</v>
      </c>
      <c r="L177" s="3">
        <v>274408.63</v>
      </c>
      <c r="M177" s="3">
        <v>1547072.12</v>
      </c>
      <c r="N177" s="3">
        <v>258388.3</v>
      </c>
      <c r="O177" s="34">
        <v>2576702.7200000002</v>
      </c>
      <c r="P177" s="34">
        <v>16756546.52</v>
      </c>
      <c r="Q177" s="34" t="s">
        <v>25</v>
      </c>
      <c r="R177" s="4">
        <v>2149324.89</v>
      </c>
      <c r="S177" s="3">
        <v>99338813.980000004</v>
      </c>
      <c r="T177" s="4">
        <v>3904335.89</v>
      </c>
      <c r="U177" s="4">
        <v>136872.13</v>
      </c>
      <c r="V177" s="4">
        <v>101822.1</v>
      </c>
      <c r="W177" s="23">
        <v>0</v>
      </c>
      <c r="X177" s="34"/>
      <c r="Y177" s="3">
        <v>170822195.06999999</v>
      </c>
    </row>
    <row r="178" spans="1:25" x14ac:dyDescent="0.3">
      <c r="A178" s="7">
        <v>30195</v>
      </c>
      <c r="B178" s="2">
        <f t="shared" si="2"/>
        <v>8279</v>
      </c>
      <c r="C178" s="3">
        <f>3213152.24+55030.92</f>
        <v>3268183.16</v>
      </c>
      <c r="D178" s="3">
        <v>8951481.8300000001</v>
      </c>
      <c r="E178" s="3">
        <v>635831</v>
      </c>
      <c r="F178" s="4">
        <v>2813736.18</v>
      </c>
      <c r="G178" s="3">
        <v>15062149.66</v>
      </c>
      <c r="H178" s="4">
        <v>2110230.19</v>
      </c>
      <c r="I178" s="3">
        <v>6991952.8600000003</v>
      </c>
      <c r="J178" s="3">
        <v>701522.29</v>
      </c>
      <c r="K178" s="4">
        <v>4614312.13</v>
      </c>
      <c r="L178" s="3">
        <v>274585.17</v>
      </c>
      <c r="M178" s="3">
        <v>1448256.81</v>
      </c>
      <c r="N178" s="3">
        <v>209132.26</v>
      </c>
      <c r="O178" s="34">
        <v>2358195.02</v>
      </c>
      <c r="P178" s="34">
        <v>8284610.5599999996</v>
      </c>
      <c r="Q178" s="34" t="s">
        <v>25</v>
      </c>
      <c r="R178" s="4">
        <v>2391547.2200000002</v>
      </c>
      <c r="S178" s="3">
        <v>95784117.480000004</v>
      </c>
      <c r="T178" s="4">
        <v>3415994.57</v>
      </c>
      <c r="U178" s="4">
        <v>157613.89000000001</v>
      </c>
      <c r="V178" s="4">
        <v>107856.44</v>
      </c>
      <c r="W178" s="23">
        <v>0</v>
      </c>
      <c r="X178" s="34"/>
      <c r="Y178" s="3">
        <v>159423694.83000001</v>
      </c>
    </row>
    <row r="179" spans="1:25" x14ac:dyDescent="0.3">
      <c r="A179" s="7">
        <v>30225</v>
      </c>
      <c r="B179" s="2">
        <f t="shared" si="2"/>
        <v>8309</v>
      </c>
      <c r="C179" s="3">
        <f>3870351.94+46625.65</f>
        <v>3916977.59</v>
      </c>
      <c r="D179" s="3">
        <v>33927338.299999997</v>
      </c>
      <c r="E179" s="3">
        <v>1123431.54</v>
      </c>
      <c r="F179" s="4">
        <v>3055709.88</v>
      </c>
      <c r="G179" s="3">
        <v>17851014.43</v>
      </c>
      <c r="H179" s="4">
        <v>2725834.53</v>
      </c>
      <c r="I179" s="3">
        <v>6232699.96</v>
      </c>
      <c r="J179" s="3">
        <v>587371.62</v>
      </c>
      <c r="K179" s="4">
        <v>4796612.3600000003</v>
      </c>
      <c r="L179" s="3">
        <v>257503.14</v>
      </c>
      <c r="M179" s="3">
        <v>1499508.74</v>
      </c>
      <c r="N179" s="3">
        <v>326901.52</v>
      </c>
      <c r="O179" s="34">
        <v>2284885.44</v>
      </c>
      <c r="P179" s="34">
        <v>9280048.1899999995</v>
      </c>
      <c r="Q179" s="34" t="s">
        <v>25</v>
      </c>
      <c r="R179" s="4">
        <v>2381782</v>
      </c>
      <c r="S179" s="3">
        <v>95889773.489999995</v>
      </c>
      <c r="T179" s="4">
        <v>4916322.45</v>
      </c>
      <c r="U179" s="4">
        <v>145009.57999999999</v>
      </c>
      <c r="V179" s="4">
        <v>130449.71</v>
      </c>
      <c r="W179" s="23">
        <v>0</v>
      </c>
      <c r="X179" s="34"/>
      <c r="Y179" s="3">
        <v>191184164.88999999</v>
      </c>
    </row>
    <row r="180" spans="1:25" x14ac:dyDescent="0.3">
      <c r="A180" s="7">
        <v>30256</v>
      </c>
      <c r="B180" s="2">
        <f t="shared" si="2"/>
        <v>8340</v>
      </c>
      <c r="C180" s="3">
        <f>1507613.69+24453.06</f>
        <v>1532066.75</v>
      </c>
      <c r="D180" s="3">
        <v>7047897.1500000004</v>
      </c>
      <c r="E180" s="3">
        <v>382268</v>
      </c>
      <c r="F180" s="4">
        <v>3353705.62</v>
      </c>
      <c r="G180" s="3">
        <v>17565369.59</v>
      </c>
      <c r="H180" s="4">
        <v>2639613.2200000002</v>
      </c>
      <c r="I180" s="3">
        <v>6121752.7599999998</v>
      </c>
      <c r="J180" s="3">
        <v>928081.81</v>
      </c>
      <c r="K180" s="4">
        <v>5413873.4199999999</v>
      </c>
      <c r="L180" s="3">
        <v>252842.52</v>
      </c>
      <c r="M180" s="3">
        <v>1619095.28</v>
      </c>
      <c r="N180" s="3">
        <v>166343.65</v>
      </c>
      <c r="O180" s="34">
        <v>2402610.2200000002</v>
      </c>
      <c r="P180" s="34">
        <v>13909010.039999999</v>
      </c>
      <c r="Q180" s="34" t="s">
        <v>25</v>
      </c>
      <c r="R180" s="4">
        <v>2429836.2599999998</v>
      </c>
      <c r="S180" s="3">
        <v>99133961.219999999</v>
      </c>
      <c r="T180" s="4">
        <v>4587627.78</v>
      </c>
      <c r="U180" s="4">
        <v>176155.17</v>
      </c>
      <c r="V180" s="4">
        <v>143202.60999999999</v>
      </c>
      <c r="W180" s="23">
        <v>0</v>
      </c>
      <c r="X180" s="34"/>
      <c r="Y180" s="3">
        <v>169804869.53999999</v>
      </c>
    </row>
    <row r="181" spans="1:25" x14ac:dyDescent="0.3">
      <c r="A181" s="7">
        <v>30286</v>
      </c>
      <c r="B181" s="2">
        <f t="shared" si="2"/>
        <v>8370</v>
      </c>
      <c r="C181" s="3">
        <f>2523080.74+44999.82</f>
        <v>2568080.56</v>
      </c>
      <c r="D181" s="3">
        <v>8625669.0399999991</v>
      </c>
      <c r="E181" s="3">
        <v>1639895.74</v>
      </c>
      <c r="F181" s="4">
        <v>2399626.84</v>
      </c>
      <c r="G181" s="3">
        <v>16661103.43</v>
      </c>
      <c r="H181" s="4">
        <v>2802374.3</v>
      </c>
      <c r="I181" s="3">
        <v>8103937.0599999996</v>
      </c>
      <c r="J181" s="3">
        <v>881576.79</v>
      </c>
      <c r="K181" s="4">
        <v>5053565.8099999996</v>
      </c>
      <c r="L181" s="3">
        <v>238657.62</v>
      </c>
      <c r="M181" s="3">
        <v>1388162.3</v>
      </c>
      <c r="N181" s="3">
        <v>172531.35</v>
      </c>
      <c r="O181" s="34">
        <v>2204150.52</v>
      </c>
      <c r="P181" s="34">
        <v>8765364.6999999993</v>
      </c>
      <c r="Q181" s="34" t="s">
        <v>25</v>
      </c>
      <c r="R181" s="4">
        <v>2944346.78</v>
      </c>
      <c r="S181" s="3">
        <v>97064779.069999993</v>
      </c>
      <c r="T181" s="4">
        <v>3967385.19</v>
      </c>
      <c r="U181" s="4">
        <v>178945.57</v>
      </c>
      <c r="V181" s="4">
        <v>131210.45000000001</v>
      </c>
      <c r="W181" s="23">
        <v>0</v>
      </c>
      <c r="X181" s="34"/>
      <c r="Y181" s="3">
        <v>165791363.12</v>
      </c>
    </row>
    <row r="182" spans="1:25" x14ac:dyDescent="0.3">
      <c r="A182" s="7">
        <v>30317</v>
      </c>
      <c r="B182" s="2">
        <f t="shared" si="2"/>
        <v>8401</v>
      </c>
      <c r="C182" s="3">
        <f>3072465.85+48413.16</f>
        <v>3120879.0100000002</v>
      </c>
      <c r="D182" s="3">
        <v>28385327.059999999</v>
      </c>
      <c r="E182" s="3">
        <v>2473759.33</v>
      </c>
      <c r="F182" s="4">
        <v>3894176.32</v>
      </c>
      <c r="G182" s="3">
        <v>16790504.890000001</v>
      </c>
      <c r="H182" s="4">
        <v>2541092.65</v>
      </c>
      <c r="I182" s="3">
        <v>5559582.4100000001</v>
      </c>
      <c r="J182" s="3">
        <v>808451.03</v>
      </c>
      <c r="K182" s="4">
        <v>5368400.6900000004</v>
      </c>
      <c r="L182" s="3">
        <v>270157.74</v>
      </c>
      <c r="M182" s="3">
        <v>1511550.35</v>
      </c>
      <c r="N182" s="3">
        <v>155041.23000000001</v>
      </c>
      <c r="O182" s="34">
        <v>2778876.38</v>
      </c>
      <c r="P182" s="34">
        <v>9499643.8399999999</v>
      </c>
      <c r="Q182" s="34" t="s">
        <v>25</v>
      </c>
      <c r="R182" s="4">
        <v>3557841.9</v>
      </c>
      <c r="S182" s="3">
        <v>114870211.38</v>
      </c>
      <c r="T182" s="4">
        <v>4391743.5199999996</v>
      </c>
      <c r="U182" s="4">
        <v>176098.11</v>
      </c>
      <c r="V182" s="4">
        <v>151617.15</v>
      </c>
      <c r="W182" s="23">
        <v>0</v>
      </c>
      <c r="X182" s="34"/>
      <c r="Y182" s="3">
        <v>206304954.99000001</v>
      </c>
    </row>
    <row r="183" spans="1:25" x14ac:dyDescent="0.3">
      <c r="A183" s="7">
        <v>30348</v>
      </c>
      <c r="B183" s="2">
        <f t="shared" si="2"/>
        <v>8432</v>
      </c>
      <c r="C183" s="3">
        <f>2486715.31+37799.72</f>
        <v>2524515.0300000003</v>
      </c>
      <c r="D183" s="3">
        <v>10625683.710000001</v>
      </c>
      <c r="E183" s="3">
        <v>1399169.23</v>
      </c>
      <c r="F183" s="4">
        <v>2131598.65</v>
      </c>
      <c r="G183" s="3">
        <v>16345350.24</v>
      </c>
      <c r="H183" s="4">
        <v>2312688.8199999998</v>
      </c>
      <c r="I183" s="3">
        <v>4773965.8</v>
      </c>
      <c r="J183" s="3">
        <v>828388.62</v>
      </c>
      <c r="K183" s="4">
        <v>7759320.5999999996</v>
      </c>
      <c r="L183" s="3">
        <v>244121.7</v>
      </c>
      <c r="M183" s="3">
        <v>1333007.22</v>
      </c>
      <c r="N183" s="3">
        <v>154081.92000000001</v>
      </c>
      <c r="O183" s="34">
        <v>2375817.44</v>
      </c>
      <c r="P183" s="34">
        <v>17143783.43</v>
      </c>
      <c r="Q183" s="34" t="s">
        <v>25</v>
      </c>
      <c r="R183" s="4">
        <v>1974799.95</v>
      </c>
      <c r="S183" s="3">
        <v>83902795.109999999</v>
      </c>
      <c r="T183" s="4">
        <v>4320030.17</v>
      </c>
      <c r="U183" s="4">
        <f>157892.2-89.21</f>
        <v>157802.99000000002</v>
      </c>
      <c r="V183" s="4">
        <v>135309.6</v>
      </c>
      <c r="W183" s="23">
        <v>0</v>
      </c>
      <c r="X183" s="34"/>
      <c r="Y183" s="3">
        <v>160442230.22999999</v>
      </c>
    </row>
    <row r="184" spans="1:25" x14ac:dyDescent="0.3">
      <c r="A184" s="7">
        <v>30376</v>
      </c>
      <c r="B184" s="2">
        <f t="shared" si="2"/>
        <v>8460</v>
      </c>
      <c r="C184" s="3">
        <f>14746255.37+177695.07</f>
        <v>14923950.439999999</v>
      </c>
      <c r="D184" s="3">
        <v>14147375.880000001</v>
      </c>
      <c r="E184" s="3">
        <v>4143879.3</v>
      </c>
      <c r="F184" s="4">
        <v>3593230.38</v>
      </c>
      <c r="G184" s="3">
        <v>12915443.48</v>
      </c>
      <c r="H184" s="4">
        <v>2055678.78</v>
      </c>
      <c r="I184" s="3">
        <v>6443254.9400000004</v>
      </c>
      <c r="J184" s="3">
        <v>870403.16</v>
      </c>
      <c r="K184" s="4">
        <v>15883847.25</v>
      </c>
      <c r="L184" s="3">
        <v>349922.47</v>
      </c>
      <c r="M184" s="3">
        <v>1392026.86</v>
      </c>
      <c r="N184" s="3">
        <v>329312.56</v>
      </c>
      <c r="O184" s="34">
        <v>2272357.37</v>
      </c>
      <c r="P184" s="34">
        <v>8664446.1400000006</v>
      </c>
      <c r="Q184" s="34" t="s">
        <v>25</v>
      </c>
      <c r="R184" s="4">
        <v>2218297.8199999998</v>
      </c>
      <c r="S184" s="3">
        <v>86408316.099999994</v>
      </c>
      <c r="T184" s="4">
        <v>3949638.85</v>
      </c>
      <c r="U184" s="4">
        <f>207662.23-1762.12</f>
        <v>205900.11000000002</v>
      </c>
      <c r="V184" s="4">
        <v>117564.57</v>
      </c>
      <c r="W184" s="23">
        <v>0</v>
      </c>
      <c r="X184" s="34"/>
      <c r="Y184" s="3">
        <v>180884846.46000001</v>
      </c>
    </row>
    <row r="185" spans="1:25" x14ac:dyDescent="0.3">
      <c r="A185" s="7">
        <v>30407</v>
      </c>
      <c r="B185" s="2">
        <f t="shared" si="2"/>
        <v>8491</v>
      </c>
      <c r="C185" s="3">
        <f>18114126.67+135463.78</f>
        <v>18249590.450000003</v>
      </c>
      <c r="D185" s="3">
        <v>40817783.340000004</v>
      </c>
      <c r="E185" s="3">
        <v>37673304.670000002</v>
      </c>
      <c r="F185" s="4">
        <v>4859043.3</v>
      </c>
      <c r="G185" s="3">
        <v>16103357.07</v>
      </c>
      <c r="H185" s="4">
        <v>2336362.9700000002</v>
      </c>
      <c r="I185" s="3">
        <v>5858629.4199999999</v>
      </c>
      <c r="J185" s="3">
        <v>1084466.1499999999</v>
      </c>
      <c r="K185" s="4">
        <v>22890003.989999998</v>
      </c>
      <c r="L185" s="3">
        <v>329895.62</v>
      </c>
      <c r="M185" s="3">
        <v>1541285.92</v>
      </c>
      <c r="N185" s="3">
        <v>312714.71999999997</v>
      </c>
      <c r="O185" s="34">
        <v>2995130.2</v>
      </c>
      <c r="P185" s="34">
        <v>9295523.2899999991</v>
      </c>
      <c r="Q185" s="34" t="s">
        <v>25</v>
      </c>
      <c r="R185" s="4">
        <v>2635180.9900000002</v>
      </c>
      <c r="S185" s="3">
        <v>100361061.02</v>
      </c>
      <c r="T185" s="4">
        <v>4971397.13</v>
      </c>
      <c r="U185" s="4">
        <v>187688.98</v>
      </c>
      <c r="V185" s="4">
        <v>136872.4</v>
      </c>
      <c r="W185" s="23">
        <v>0</v>
      </c>
      <c r="X185" s="34"/>
      <c r="Y185" s="3">
        <v>272639291.63</v>
      </c>
    </row>
    <row r="186" spans="1:25" x14ac:dyDescent="0.3">
      <c r="A186" s="7">
        <v>30437</v>
      </c>
      <c r="B186" s="2">
        <f t="shared" si="2"/>
        <v>8521</v>
      </c>
      <c r="C186" s="3">
        <f>2077194.03+31758.17</f>
        <v>2108952.2000000002</v>
      </c>
      <c r="D186" s="3">
        <v>7304488.2800000003</v>
      </c>
      <c r="E186" s="3">
        <v>800285.56</v>
      </c>
      <c r="F186" s="4">
        <v>2446975.96</v>
      </c>
      <c r="G186" s="3">
        <v>16407488.060000001</v>
      </c>
      <c r="H186" s="4">
        <v>2430411.3199999998</v>
      </c>
      <c r="I186" s="3">
        <v>6598884.0800000001</v>
      </c>
      <c r="J186" s="3">
        <v>1013895.65</v>
      </c>
      <c r="K186" s="4">
        <v>12994584.6</v>
      </c>
      <c r="L186" s="3">
        <v>318847.7</v>
      </c>
      <c r="M186" s="3">
        <v>1532462.33</v>
      </c>
      <c r="N186" s="3">
        <v>140900.95000000001</v>
      </c>
      <c r="O186" s="34">
        <v>3002792.32</v>
      </c>
      <c r="P186" s="34">
        <v>10157684.539999999</v>
      </c>
      <c r="Q186" s="34" t="s">
        <v>25</v>
      </c>
      <c r="R186" s="4">
        <v>2504369.62</v>
      </c>
      <c r="S186" s="3">
        <v>98173923</v>
      </c>
      <c r="T186" s="4">
        <v>4156134.13</v>
      </c>
      <c r="U186" s="4">
        <v>153710.03</v>
      </c>
      <c r="V186" s="4">
        <v>119897.48</v>
      </c>
      <c r="W186" s="23">
        <v>0</v>
      </c>
      <c r="X186" s="34"/>
      <c r="Y186" s="3">
        <v>172366687.81</v>
      </c>
    </row>
    <row r="187" spans="1:25" x14ac:dyDescent="0.3">
      <c r="A187" s="7">
        <v>30468</v>
      </c>
      <c r="B187" s="2">
        <f t="shared" si="2"/>
        <v>8552</v>
      </c>
      <c r="C187" s="3">
        <f>1807634.96+42397.95</f>
        <v>1850032.91</v>
      </c>
      <c r="D187" s="3">
        <v>7842346.1399999997</v>
      </c>
      <c r="E187" s="3">
        <v>574172.14</v>
      </c>
      <c r="F187" s="4">
        <v>2956741.12</v>
      </c>
      <c r="G187" s="3">
        <v>16489511.74</v>
      </c>
      <c r="H187" s="4">
        <v>2620222.41</v>
      </c>
      <c r="I187" s="3">
        <v>7898902.1200000001</v>
      </c>
      <c r="J187" s="3">
        <v>972954.95</v>
      </c>
      <c r="K187" s="4">
        <v>9563372.8499999996</v>
      </c>
      <c r="L187" s="3">
        <v>354584.7</v>
      </c>
      <c r="M187" s="3">
        <v>1437921</v>
      </c>
      <c r="N187" s="3">
        <v>4876533.1900000004</v>
      </c>
      <c r="O187" s="34">
        <v>3137471.39</v>
      </c>
      <c r="P187" s="34">
        <v>8688075.6400000006</v>
      </c>
      <c r="Q187" s="34" t="s">
        <v>25</v>
      </c>
      <c r="R187" s="4">
        <v>2490608.7599999998</v>
      </c>
      <c r="S187" s="3">
        <v>100891928.09</v>
      </c>
      <c r="T187" s="4">
        <v>4462466.54</v>
      </c>
      <c r="U187" s="4">
        <f>181359.03-662.75</f>
        <v>180696.28</v>
      </c>
      <c r="V187" s="4">
        <v>117840.68</v>
      </c>
      <c r="W187" s="23">
        <v>0</v>
      </c>
      <c r="X187" s="34"/>
      <c r="Y187" s="3">
        <v>177406382.65000001</v>
      </c>
    </row>
    <row r="188" spans="1:25" x14ac:dyDescent="0.3">
      <c r="A188" s="7">
        <v>30498</v>
      </c>
      <c r="B188" s="2">
        <f t="shared" si="2"/>
        <v>8582</v>
      </c>
      <c r="C188" s="3">
        <f>1703229.75+34948.24</f>
        <v>1738177.99</v>
      </c>
      <c r="D188" s="3">
        <v>26990678.09</v>
      </c>
      <c r="E188" s="3">
        <v>565617.98</v>
      </c>
      <c r="F188" s="4">
        <v>2574409.25</v>
      </c>
      <c r="G188" s="3">
        <v>17705426.289999999</v>
      </c>
      <c r="H188" s="4">
        <v>2757078.85</v>
      </c>
      <c r="I188" s="3">
        <v>6051280.6699999999</v>
      </c>
      <c r="J188" s="3">
        <v>1023103.86</v>
      </c>
      <c r="K188" s="4">
        <v>6096326.3200000003</v>
      </c>
      <c r="L188" s="3">
        <v>270894.43</v>
      </c>
      <c r="M188" s="3">
        <v>1444049.72</v>
      </c>
      <c r="N188" s="3">
        <v>353099.62</v>
      </c>
      <c r="O188" s="34">
        <v>3429193.52</v>
      </c>
      <c r="P188" s="34">
        <v>11899376.49</v>
      </c>
      <c r="Q188" s="34" t="s">
        <v>25</v>
      </c>
      <c r="R188" s="4">
        <v>2448149.62</v>
      </c>
      <c r="S188" s="3">
        <v>106961621.08</v>
      </c>
      <c r="T188" s="4">
        <v>5036861.32</v>
      </c>
      <c r="U188" s="4">
        <f>144284.21-190.25</f>
        <v>144093.96</v>
      </c>
      <c r="V188" s="4">
        <v>117525.3</v>
      </c>
      <c r="W188" s="23">
        <v>0</v>
      </c>
      <c r="X188" s="34"/>
      <c r="Y188" s="3">
        <v>197606964.36000001</v>
      </c>
    </row>
    <row r="189" spans="1:25" x14ac:dyDescent="0.3">
      <c r="A189" s="7">
        <v>30529</v>
      </c>
      <c r="B189" s="2">
        <f t="shared" si="2"/>
        <v>8613</v>
      </c>
      <c r="C189" s="3">
        <f>1521923.35+31301.31</f>
        <v>1553224.6600000001</v>
      </c>
      <c r="D189" s="3">
        <v>5730142.0800000001</v>
      </c>
      <c r="E189" s="3">
        <v>1208625.29</v>
      </c>
      <c r="F189" s="4">
        <v>2885345.07</v>
      </c>
      <c r="G189" s="3">
        <v>18751066.030000001</v>
      </c>
      <c r="H189" s="4">
        <v>2800330.94</v>
      </c>
      <c r="I189" s="3">
        <v>6487323.2300000004</v>
      </c>
      <c r="J189" s="3">
        <v>1125949.73</v>
      </c>
      <c r="K189" s="4">
        <v>5271636.29</v>
      </c>
      <c r="L189" s="3">
        <v>329662.02</v>
      </c>
      <c r="M189" s="3">
        <v>1491024.51</v>
      </c>
      <c r="N189" s="3">
        <v>156458.35</v>
      </c>
      <c r="O189" s="34">
        <v>3049063.86</v>
      </c>
      <c r="P189" s="34">
        <v>29045463.370000001</v>
      </c>
      <c r="Q189" s="34" t="s">
        <v>25</v>
      </c>
      <c r="R189" s="4">
        <v>2011102.59</v>
      </c>
      <c r="S189" s="3">
        <v>105963642.8</v>
      </c>
      <c r="T189" s="4">
        <v>4548604.53</v>
      </c>
      <c r="U189" s="4">
        <v>131657.97</v>
      </c>
      <c r="V189" s="4">
        <v>107150.2</v>
      </c>
      <c r="W189" s="23">
        <v>0</v>
      </c>
      <c r="X189" s="34"/>
      <c r="Y189" s="3">
        <v>192647473.52000001</v>
      </c>
    </row>
    <row r="190" spans="1:25" x14ac:dyDescent="0.3">
      <c r="A190" s="7">
        <v>30560</v>
      </c>
      <c r="B190" s="2">
        <f t="shared" si="2"/>
        <v>8644</v>
      </c>
      <c r="C190" s="3">
        <f>4346374.27+54988.72</f>
        <v>4401362.9899999993</v>
      </c>
      <c r="D190" s="3">
        <v>8988803.8800000008</v>
      </c>
      <c r="E190" s="3">
        <v>491213.91</v>
      </c>
      <c r="F190" s="4">
        <v>2511863.79</v>
      </c>
      <c r="G190" s="3">
        <v>17193463.68</v>
      </c>
      <c r="H190" s="4">
        <v>2536121.63</v>
      </c>
      <c r="I190" s="3">
        <v>6813766.1100000003</v>
      </c>
      <c r="J190" s="3">
        <v>1043452.68</v>
      </c>
      <c r="K190" s="4">
        <v>5212552.79</v>
      </c>
      <c r="L190" s="3">
        <v>289236.43</v>
      </c>
      <c r="M190" s="3">
        <v>1528491.14</v>
      </c>
      <c r="N190" s="3">
        <v>234594.54</v>
      </c>
      <c r="O190" s="34">
        <v>3332620.8</v>
      </c>
      <c r="P190" s="34">
        <v>8722731.5199999996</v>
      </c>
      <c r="Q190" s="34" t="s">
        <v>25</v>
      </c>
      <c r="R190" s="4">
        <v>2469407.02</v>
      </c>
      <c r="S190" s="3">
        <v>107022204.52</v>
      </c>
      <c r="T190" s="4">
        <v>4163630.51</v>
      </c>
      <c r="U190" s="4">
        <v>165481.70000000001</v>
      </c>
      <c r="V190" s="4">
        <v>107493.88</v>
      </c>
      <c r="W190" s="23">
        <v>0</v>
      </c>
      <c r="X190" s="34"/>
      <c r="Y190" s="3">
        <v>177228493.52000001</v>
      </c>
    </row>
    <row r="191" spans="1:25" x14ac:dyDescent="0.3">
      <c r="A191" s="7">
        <v>30590</v>
      </c>
      <c r="B191" s="2">
        <f t="shared" si="2"/>
        <v>8674</v>
      </c>
      <c r="C191" s="3">
        <f>4203778.89+68208.28</f>
        <v>4271987.17</v>
      </c>
      <c r="D191" s="3">
        <v>28477614.829999998</v>
      </c>
      <c r="E191" s="3">
        <v>1076061.04</v>
      </c>
      <c r="F191" s="4">
        <v>2894547.64</v>
      </c>
      <c r="G191" s="3">
        <v>15843952.6</v>
      </c>
      <c r="H191" s="4">
        <v>2583541.9900000002</v>
      </c>
      <c r="I191" s="3">
        <v>6437502.5199999996</v>
      </c>
      <c r="J191" s="3">
        <v>1022054.72</v>
      </c>
      <c r="K191" s="4">
        <v>5487221.3099999996</v>
      </c>
      <c r="L191" s="3">
        <v>273630.8</v>
      </c>
      <c r="M191" s="3">
        <v>1577076.08</v>
      </c>
      <c r="N191" s="3">
        <v>225577.01</v>
      </c>
      <c r="O191" s="34">
        <v>3742779.41</v>
      </c>
      <c r="P191" s="34">
        <v>9692178.8499999996</v>
      </c>
      <c r="Q191" s="34" t="s">
        <v>25</v>
      </c>
      <c r="R191" s="4">
        <v>2387597.5499999998</v>
      </c>
      <c r="S191" s="3">
        <v>108838760.52</v>
      </c>
      <c r="T191" s="4">
        <v>6021861.3899999997</v>
      </c>
      <c r="U191" s="4">
        <v>95295.89</v>
      </c>
      <c r="V191" s="4">
        <v>179596.17</v>
      </c>
      <c r="W191" s="23">
        <v>0</v>
      </c>
      <c r="X191" s="34"/>
      <c r="Y191" s="3">
        <v>201128837.49000001</v>
      </c>
    </row>
    <row r="192" spans="1:25" x14ac:dyDescent="0.3">
      <c r="A192" s="7">
        <v>30621</v>
      </c>
      <c r="B192" s="2">
        <f t="shared" si="2"/>
        <v>8705</v>
      </c>
      <c r="C192" s="3">
        <f>1945846.91+24106.23</f>
        <v>1969953.14</v>
      </c>
      <c r="D192" s="3">
        <v>6971177.0800000001</v>
      </c>
      <c r="E192" s="3">
        <v>333581.12</v>
      </c>
      <c r="F192" s="4">
        <v>1744585.94</v>
      </c>
      <c r="G192" s="3">
        <v>17204396.530000001</v>
      </c>
      <c r="H192" s="4">
        <v>2834061.12</v>
      </c>
      <c r="I192" s="3">
        <v>6345475.4299999997</v>
      </c>
      <c r="J192" s="3">
        <v>995869.19</v>
      </c>
      <c r="K192" s="4">
        <v>6169705.9299999997</v>
      </c>
      <c r="L192" s="3">
        <v>265130.90000000002</v>
      </c>
      <c r="M192" s="3">
        <v>1634809.85</v>
      </c>
      <c r="N192" s="3">
        <v>118990.51</v>
      </c>
      <c r="O192" s="34">
        <v>3168457.22</v>
      </c>
      <c r="P192" s="34">
        <v>10534368.48</v>
      </c>
      <c r="Q192" s="34" t="s">
        <v>25</v>
      </c>
      <c r="R192" s="4">
        <v>2503266.2000000002</v>
      </c>
      <c r="S192" s="3">
        <v>105655420.89</v>
      </c>
      <c r="T192" s="4">
        <v>3934938.72</v>
      </c>
      <c r="U192" s="4">
        <v>191242.07</v>
      </c>
      <c r="V192" s="4">
        <v>93184.88</v>
      </c>
      <c r="W192" s="23">
        <v>0</v>
      </c>
      <c r="X192" s="34"/>
      <c r="Y192" s="3">
        <v>172668615.19999999</v>
      </c>
    </row>
    <row r="193" spans="1:25" x14ac:dyDescent="0.3">
      <c r="A193" s="7">
        <v>30651</v>
      </c>
      <c r="B193" s="2">
        <f t="shared" si="2"/>
        <v>8735</v>
      </c>
      <c r="C193" s="3">
        <f>2704426.46+33664.05</f>
        <v>2738090.51</v>
      </c>
      <c r="D193" s="3">
        <v>9718993.6600000001</v>
      </c>
      <c r="E193" s="3">
        <v>1357301.27</v>
      </c>
      <c r="F193" s="4">
        <v>3744378.85</v>
      </c>
      <c r="G193" s="3">
        <v>15897023.689999999</v>
      </c>
      <c r="H193" s="4">
        <v>2816416.52</v>
      </c>
      <c r="I193" s="3">
        <v>6300428.1900000004</v>
      </c>
      <c r="J193" s="3">
        <v>839545.57</v>
      </c>
      <c r="K193" s="4">
        <v>5289793.8600000003</v>
      </c>
      <c r="L193" s="3">
        <v>248242.96</v>
      </c>
      <c r="M193" s="3">
        <v>1528272.18</v>
      </c>
      <c r="N193" s="3">
        <v>129394.06</v>
      </c>
      <c r="O193" s="34">
        <v>3272789.61</v>
      </c>
      <c r="P193" s="34">
        <v>8563193.8800000008</v>
      </c>
      <c r="Q193" s="34" t="s">
        <v>25</v>
      </c>
      <c r="R193" s="4">
        <v>3011089.78</v>
      </c>
      <c r="S193" s="3">
        <v>106388145.64</v>
      </c>
      <c r="T193" s="4">
        <v>4655781.5999999996</v>
      </c>
      <c r="U193" s="4">
        <v>168869.2</v>
      </c>
      <c r="V193" s="4">
        <v>98463.65</v>
      </c>
      <c r="W193" s="23">
        <v>0</v>
      </c>
      <c r="X193" s="34"/>
      <c r="Y193" s="3">
        <v>176766214.68000001</v>
      </c>
    </row>
    <row r="194" spans="1:25" x14ac:dyDescent="0.3">
      <c r="A194" s="7">
        <v>30682</v>
      </c>
      <c r="B194" s="2">
        <f t="shared" ref="B194:B257" si="3">A194-21916</f>
        <v>8766</v>
      </c>
      <c r="C194" s="3">
        <f>4072686.62+22288.58</f>
        <v>4094975.2</v>
      </c>
      <c r="D194" s="3">
        <v>32995849.75</v>
      </c>
      <c r="E194" s="3">
        <v>2530732.61</v>
      </c>
      <c r="F194" s="8">
        <v>3496922.37</v>
      </c>
      <c r="G194" s="3">
        <v>18651953.550000001</v>
      </c>
      <c r="H194" s="4">
        <v>2764175.33</v>
      </c>
      <c r="I194" s="3">
        <v>6059360.4900000002</v>
      </c>
      <c r="J194" s="3">
        <v>734918.02</v>
      </c>
      <c r="K194" s="4">
        <v>6350905.1900000004</v>
      </c>
      <c r="L194" s="3">
        <v>264976.28000000003</v>
      </c>
      <c r="M194" s="3">
        <v>1671167.19</v>
      </c>
      <c r="N194" s="3">
        <v>108504.11</v>
      </c>
      <c r="O194" s="34">
        <v>3477470.27</v>
      </c>
      <c r="P194" s="34">
        <v>9407051.3000000007</v>
      </c>
      <c r="Q194" s="34" t="s">
        <v>25</v>
      </c>
      <c r="R194" s="4">
        <v>3642488.66</v>
      </c>
      <c r="S194" s="3">
        <v>127490283.59999999</v>
      </c>
      <c r="T194" s="4">
        <v>5755923.6600000001</v>
      </c>
      <c r="U194" s="4">
        <f>176905.71-30.32</f>
        <v>176875.38999999998</v>
      </c>
      <c r="V194" s="4">
        <v>93207.11</v>
      </c>
      <c r="W194" s="23">
        <v>2750393.12</v>
      </c>
      <c r="X194" s="34"/>
      <c r="Y194" s="3">
        <v>232518133.19999999</v>
      </c>
    </row>
    <row r="195" spans="1:25" x14ac:dyDescent="0.3">
      <c r="A195" s="7">
        <v>30713</v>
      </c>
      <c r="B195" s="2">
        <f t="shared" si="3"/>
        <v>8797</v>
      </c>
      <c r="C195" s="3">
        <f>2120143.68-30013.43</f>
        <v>2090130.2500000002</v>
      </c>
      <c r="D195" s="3">
        <v>8250196.2999999998</v>
      </c>
      <c r="E195" s="3">
        <v>1595163.18</v>
      </c>
      <c r="F195" s="4">
        <v>2657916.19</v>
      </c>
      <c r="G195" s="3">
        <v>13681419.199999999</v>
      </c>
      <c r="H195" s="4">
        <v>2254388.6</v>
      </c>
      <c r="I195" s="3">
        <v>6233260.6100000003</v>
      </c>
      <c r="J195" s="3">
        <v>849307.24</v>
      </c>
      <c r="K195" s="4">
        <v>6977105.2999999998</v>
      </c>
      <c r="L195" s="3">
        <v>284388.37</v>
      </c>
      <c r="M195" s="3">
        <v>1477510.73</v>
      </c>
      <c r="N195" s="3">
        <v>214750.64</v>
      </c>
      <c r="O195" s="34">
        <v>2993883.21</v>
      </c>
      <c r="P195" s="34">
        <v>9540707.0899999999</v>
      </c>
      <c r="Q195" s="34" t="s">
        <v>25</v>
      </c>
      <c r="R195" s="4">
        <v>2205929.2999999998</v>
      </c>
      <c r="S195" s="3">
        <v>96655011.819999993</v>
      </c>
      <c r="T195" s="4">
        <v>4289762.4400000004</v>
      </c>
      <c r="U195" s="4">
        <f>182248.46-1684.48</f>
        <v>180563.97999999998</v>
      </c>
      <c r="V195" s="9">
        <v>104578.29</v>
      </c>
      <c r="W195" s="23">
        <v>524386.73</v>
      </c>
      <c r="X195" s="34"/>
      <c r="Y195" s="3">
        <v>163060359.47</v>
      </c>
    </row>
    <row r="196" spans="1:25" x14ac:dyDescent="0.3">
      <c r="A196" s="7">
        <v>30742</v>
      </c>
      <c r="B196" s="2">
        <f t="shared" si="3"/>
        <v>8826</v>
      </c>
      <c r="C196" s="3">
        <f>14443626.2+28320.07</f>
        <v>14471946.27</v>
      </c>
      <c r="D196" s="3">
        <v>19553163.289999999</v>
      </c>
      <c r="E196" s="3">
        <v>3964197.23</v>
      </c>
      <c r="F196" s="4">
        <v>3094357.99</v>
      </c>
      <c r="G196" s="3">
        <v>14403481.41</v>
      </c>
      <c r="H196" s="4">
        <v>2396705.34</v>
      </c>
      <c r="I196" s="3">
        <v>6041334.8600000003</v>
      </c>
      <c r="J196" s="3">
        <v>796813.95</v>
      </c>
      <c r="K196" s="4">
        <v>16524265.6</v>
      </c>
      <c r="L196" s="3">
        <v>348786.05</v>
      </c>
      <c r="M196" s="3">
        <v>1561005</v>
      </c>
      <c r="N196" s="3">
        <v>272889.51</v>
      </c>
      <c r="O196" s="34">
        <v>3005874.75</v>
      </c>
      <c r="P196" s="34">
        <v>8628925.6199999992</v>
      </c>
      <c r="Q196" s="34" t="s">
        <v>25</v>
      </c>
      <c r="R196" s="4">
        <v>2361074.31</v>
      </c>
      <c r="S196" s="3">
        <v>100433773.23999999</v>
      </c>
      <c r="T196" s="4">
        <v>4149283.75</v>
      </c>
      <c r="U196" s="4">
        <f>174985.17-521.74</f>
        <v>174463.43000000002</v>
      </c>
      <c r="V196" s="4">
        <v>108773.47</v>
      </c>
      <c r="W196" s="23">
        <v>187799.73</v>
      </c>
      <c r="X196" s="34"/>
      <c r="Y196" s="3">
        <v>202478914.80000001</v>
      </c>
    </row>
    <row r="197" spans="1:25" x14ac:dyDescent="0.3">
      <c r="A197" s="7">
        <v>30773</v>
      </c>
      <c r="B197" s="2">
        <f t="shared" si="3"/>
        <v>8857</v>
      </c>
      <c r="C197" s="3">
        <f>24899286.49-14307.22</f>
        <v>24884979.27</v>
      </c>
      <c r="D197" s="3">
        <v>62653930.670000002</v>
      </c>
      <c r="E197" s="3">
        <v>40150040.119999997</v>
      </c>
      <c r="F197" s="4">
        <v>5024015.0999999996</v>
      </c>
      <c r="G197" s="3">
        <v>16174674.67</v>
      </c>
      <c r="H197" s="4">
        <v>2668318.73</v>
      </c>
      <c r="I197" s="3">
        <v>6241803.2699999996</v>
      </c>
      <c r="J197" s="3">
        <v>973492.41</v>
      </c>
      <c r="K197" s="4">
        <v>24201638.100000001</v>
      </c>
      <c r="L197" s="3">
        <v>333743.90999999997</v>
      </c>
      <c r="M197" s="3">
        <v>1737426.18</v>
      </c>
      <c r="N197" s="3">
        <v>500313.49</v>
      </c>
      <c r="O197" s="34">
        <v>3514898.67</v>
      </c>
      <c r="P197" s="34">
        <v>12338482.210000001</v>
      </c>
      <c r="Q197" s="34" t="s">
        <v>25</v>
      </c>
      <c r="R197" s="4">
        <v>2469914.29</v>
      </c>
      <c r="S197" s="3">
        <v>115493724.65000001</v>
      </c>
      <c r="T197" s="4">
        <v>6264511.5099999998</v>
      </c>
      <c r="U197" s="4">
        <v>182000.58</v>
      </c>
      <c r="V197" s="4">
        <v>114430.5</v>
      </c>
      <c r="W197" s="23">
        <v>60040.14</v>
      </c>
      <c r="X197" s="34"/>
      <c r="Y197" s="3">
        <v>325982378.47000003</v>
      </c>
    </row>
    <row r="198" spans="1:25" x14ac:dyDescent="0.3">
      <c r="A198" s="7">
        <v>30803</v>
      </c>
      <c r="B198" s="2">
        <f t="shared" si="3"/>
        <v>8887</v>
      </c>
      <c r="C198" s="3">
        <f>3172060.79-5841.96</f>
        <v>3166218.83</v>
      </c>
      <c r="D198" s="3">
        <v>9658805.9100000001</v>
      </c>
      <c r="E198" s="3">
        <v>809060.99</v>
      </c>
      <c r="F198" s="4">
        <v>3802932.76</v>
      </c>
      <c r="G198" s="3">
        <v>17000746.649999999</v>
      </c>
      <c r="H198" s="4">
        <v>2720794.53</v>
      </c>
      <c r="I198" s="3">
        <v>6906938.4800000004</v>
      </c>
      <c r="J198" s="3">
        <v>1007778.49</v>
      </c>
      <c r="K198" s="4">
        <v>15389209.74</v>
      </c>
      <c r="L198" s="3">
        <v>334146.84000000003</v>
      </c>
      <c r="M198" s="3">
        <v>1551080.83</v>
      </c>
      <c r="N198" s="3">
        <v>338748.39</v>
      </c>
      <c r="O198" s="34">
        <v>3391798.2</v>
      </c>
      <c r="P198" s="34">
        <v>11599390.68</v>
      </c>
      <c r="Q198" s="34" t="s">
        <v>25</v>
      </c>
      <c r="R198" s="4">
        <v>2500992.75</v>
      </c>
      <c r="S198" s="3">
        <v>129435850.33</v>
      </c>
      <c r="T198" s="4">
        <v>4103283.02</v>
      </c>
      <c r="U198" s="4">
        <f>191129.51-332.16</f>
        <v>190797.35</v>
      </c>
      <c r="V198" s="4">
        <v>110275.48</v>
      </c>
      <c r="W198" s="23">
        <v>23510.19</v>
      </c>
      <c r="X198" s="34"/>
      <c r="Y198" s="3">
        <v>214042360.44</v>
      </c>
    </row>
    <row r="199" spans="1:25" x14ac:dyDescent="0.3">
      <c r="A199" s="7">
        <v>30834</v>
      </c>
      <c r="B199" s="2">
        <f t="shared" si="3"/>
        <v>8918</v>
      </c>
      <c r="C199" s="3">
        <f>4349254.07+35463.95</f>
        <v>4384718.0200000005</v>
      </c>
      <c r="D199" s="3">
        <v>6252706.04</v>
      </c>
      <c r="E199" s="3">
        <v>641810.28</v>
      </c>
      <c r="F199" s="4">
        <v>1995005.71</v>
      </c>
      <c r="G199" s="3">
        <v>17536325.870000001</v>
      </c>
      <c r="H199" s="4">
        <v>2573426.1800000002</v>
      </c>
      <c r="I199" s="3">
        <v>6955190.5199999996</v>
      </c>
      <c r="J199" s="3">
        <v>1157906.3999999999</v>
      </c>
      <c r="K199" s="4">
        <v>8922717.9100000001</v>
      </c>
      <c r="L199" s="3">
        <v>356434.18</v>
      </c>
      <c r="M199" s="3">
        <v>1633966.74</v>
      </c>
      <c r="N199" s="3">
        <v>5129810.4000000004</v>
      </c>
      <c r="O199" s="34">
        <v>3619085.86</v>
      </c>
      <c r="P199" s="34">
        <v>9292826.0199999996</v>
      </c>
      <c r="Q199" s="34" t="s">
        <v>25</v>
      </c>
      <c r="R199" s="4">
        <v>2698722.8</v>
      </c>
      <c r="S199" s="3">
        <v>139518505.52000001</v>
      </c>
      <c r="T199" s="4">
        <v>5354840.4800000004</v>
      </c>
      <c r="U199" s="4">
        <v>210447</v>
      </c>
      <c r="V199" s="4">
        <v>86079.09</v>
      </c>
      <c r="W199" s="23">
        <v>482908.89</v>
      </c>
      <c r="X199" s="34"/>
      <c r="Y199" s="3">
        <v>218803433.91</v>
      </c>
    </row>
    <row r="200" spans="1:25" x14ac:dyDescent="0.3">
      <c r="A200" s="7">
        <v>30864</v>
      </c>
      <c r="B200" s="2">
        <f t="shared" si="3"/>
        <v>8948</v>
      </c>
      <c r="C200" s="3">
        <f>3811460.44-14098.52</f>
        <v>3797361.92</v>
      </c>
      <c r="D200" s="3">
        <v>34804653.979999997</v>
      </c>
      <c r="E200" s="3">
        <v>696684.1</v>
      </c>
      <c r="F200" s="4">
        <v>2450446.33</v>
      </c>
      <c r="G200" s="3">
        <v>16654319.640000001</v>
      </c>
      <c r="H200" s="4">
        <v>2805707.14</v>
      </c>
      <c r="I200" s="3">
        <v>6758279.46</v>
      </c>
      <c r="J200" s="3">
        <v>1112521.46</v>
      </c>
      <c r="K200" s="4">
        <v>6475252.25</v>
      </c>
      <c r="L200" s="3">
        <v>302478.06</v>
      </c>
      <c r="M200" s="3">
        <v>1643774.59</v>
      </c>
      <c r="N200" s="3">
        <v>413909.29</v>
      </c>
      <c r="O200" s="34">
        <v>4473478.03</v>
      </c>
      <c r="P200" s="34">
        <v>11011368.470000001</v>
      </c>
      <c r="Q200" s="34" t="s">
        <v>25</v>
      </c>
      <c r="R200" s="4">
        <v>2214767.37</v>
      </c>
      <c r="S200" s="3">
        <v>150074315.09</v>
      </c>
      <c r="T200" s="4">
        <v>5768027.3200000003</v>
      </c>
      <c r="U200" s="4">
        <f>198656.04-12.99</f>
        <v>198643.05000000002</v>
      </c>
      <c r="V200" s="4">
        <v>130025.17</v>
      </c>
      <c r="W200" s="23">
        <v>2442749.54</v>
      </c>
      <c r="X200" s="34"/>
      <c r="Y200" s="3">
        <v>254228762.25999999</v>
      </c>
    </row>
    <row r="201" spans="1:25" x14ac:dyDescent="0.3">
      <c r="A201" s="7">
        <v>30895</v>
      </c>
      <c r="B201" s="2">
        <f t="shared" si="3"/>
        <v>8979</v>
      </c>
      <c r="C201" s="3">
        <f>2949338.42-2306.53</f>
        <v>2947031.89</v>
      </c>
      <c r="D201" s="3">
        <v>8817304.1699999999</v>
      </c>
      <c r="E201" s="3">
        <v>1555393.91</v>
      </c>
      <c r="F201" s="4">
        <v>3225719.23</v>
      </c>
      <c r="G201" s="3">
        <v>19218281.41</v>
      </c>
      <c r="H201" s="4">
        <v>3039667.88</v>
      </c>
      <c r="I201" s="3">
        <v>7159596.21</v>
      </c>
      <c r="J201" s="3">
        <v>1140348.42</v>
      </c>
      <c r="K201" s="4">
        <v>6093414.8600000003</v>
      </c>
      <c r="L201" s="3">
        <v>305550.21000000002</v>
      </c>
      <c r="M201" s="3">
        <v>1548065.07</v>
      </c>
      <c r="N201" s="3">
        <v>208366.5</v>
      </c>
      <c r="O201" s="34">
        <v>3612414.19</v>
      </c>
      <c r="P201" s="34">
        <v>29965576.370000001</v>
      </c>
      <c r="Q201" s="34" t="s">
        <v>25</v>
      </c>
      <c r="R201" s="4">
        <v>2290362.65</v>
      </c>
      <c r="S201" s="3">
        <v>142112043.99000001</v>
      </c>
      <c r="T201" s="4">
        <v>5158419.1500000004</v>
      </c>
      <c r="U201" s="4">
        <v>162177.24</v>
      </c>
      <c r="V201" s="4">
        <v>75186.31</v>
      </c>
      <c r="W201" s="23">
        <v>274545.63</v>
      </c>
      <c r="X201" s="34"/>
      <c r="Y201" s="3">
        <v>238909465.28999999</v>
      </c>
    </row>
    <row r="202" spans="1:25" x14ac:dyDescent="0.3">
      <c r="A202" s="7">
        <v>30926</v>
      </c>
      <c r="B202" s="2">
        <f t="shared" si="3"/>
        <v>9010</v>
      </c>
      <c r="C202" s="3">
        <f>6152937+3407.69</f>
        <v>6156344.6900000004</v>
      </c>
      <c r="D202" s="3">
        <v>10673758.859999999</v>
      </c>
      <c r="E202" s="3">
        <v>557749.57999999996</v>
      </c>
      <c r="F202" s="4">
        <v>1598304.82</v>
      </c>
      <c r="G202" s="3">
        <v>16604284.689999999</v>
      </c>
      <c r="H202" s="4">
        <v>2741905.34</v>
      </c>
      <c r="I202" s="3">
        <v>6362234.4800000004</v>
      </c>
      <c r="J202" s="3">
        <v>1097241.5900000001</v>
      </c>
      <c r="K202" s="4">
        <v>5255457.16</v>
      </c>
      <c r="L202" s="3">
        <v>280010.39</v>
      </c>
      <c r="M202" s="3">
        <v>1604617.59</v>
      </c>
      <c r="N202" s="3">
        <v>265986.53999999998</v>
      </c>
      <c r="O202" s="34">
        <v>3884714.25</v>
      </c>
      <c r="P202" s="34">
        <v>11752975.26</v>
      </c>
      <c r="Q202" s="34" t="s">
        <v>25</v>
      </c>
      <c r="R202" s="4">
        <v>2651224.77</v>
      </c>
      <c r="S202" s="3">
        <v>145581493.38</v>
      </c>
      <c r="T202" s="4">
        <v>4235688.1399999997</v>
      </c>
      <c r="U202" s="4">
        <v>186653.96</v>
      </c>
      <c r="V202" s="4">
        <v>108265.68</v>
      </c>
      <c r="W202" s="23">
        <v>37046.86</v>
      </c>
      <c r="X202" s="34"/>
      <c r="Y202" s="3">
        <v>221635958.03</v>
      </c>
    </row>
    <row r="203" spans="1:25" x14ac:dyDescent="0.3">
      <c r="A203" s="7">
        <v>30956</v>
      </c>
      <c r="B203" s="2">
        <f t="shared" si="3"/>
        <v>9040</v>
      </c>
      <c r="C203" s="3">
        <f>7316661.53-5513.83</f>
        <v>7311147.7000000002</v>
      </c>
      <c r="D203" s="3">
        <v>35971077.939999998</v>
      </c>
      <c r="E203" s="3">
        <v>1056590.22</v>
      </c>
      <c r="F203" s="4">
        <v>2932574.12</v>
      </c>
      <c r="G203" s="3">
        <v>16935118.460000001</v>
      </c>
      <c r="H203" s="4">
        <v>2749840.63</v>
      </c>
      <c r="I203" s="3">
        <v>6852364.8700000001</v>
      </c>
      <c r="J203" s="3">
        <v>880542.32</v>
      </c>
      <c r="K203" s="4">
        <v>5732882.3200000003</v>
      </c>
      <c r="L203" s="3">
        <v>336921.38</v>
      </c>
      <c r="M203" s="3">
        <v>1632501.99</v>
      </c>
      <c r="N203" s="3">
        <v>287850.23999999999</v>
      </c>
      <c r="O203" s="34">
        <v>3394992.95</v>
      </c>
      <c r="P203" s="34">
        <v>10998214.630000001</v>
      </c>
      <c r="Q203" s="34" t="s">
        <v>25</v>
      </c>
      <c r="R203" s="4">
        <v>2233251.14</v>
      </c>
      <c r="S203" s="3">
        <v>147754905.53</v>
      </c>
      <c r="T203" s="4">
        <v>5006409.59</v>
      </c>
      <c r="U203" s="4">
        <v>166427.20000000001</v>
      </c>
      <c r="V203" s="4">
        <v>91078.56</v>
      </c>
      <c r="W203" s="23">
        <v>20347.259999999998</v>
      </c>
      <c r="X203" s="34"/>
      <c r="Y203" s="3">
        <v>252345039.05000001</v>
      </c>
    </row>
    <row r="204" spans="1:25" x14ac:dyDescent="0.3">
      <c r="A204" s="7">
        <v>30987</v>
      </c>
      <c r="B204" s="2">
        <f t="shared" si="3"/>
        <v>9071</v>
      </c>
      <c r="C204" s="3">
        <f>3822494.07+9304.09</f>
        <v>3831798.1599999997</v>
      </c>
      <c r="D204" s="3">
        <v>4133137.15</v>
      </c>
      <c r="E204" s="3">
        <v>412741.63</v>
      </c>
      <c r="F204" s="4">
        <v>3048103.6</v>
      </c>
      <c r="G204" s="3">
        <v>16711955.460000001</v>
      </c>
      <c r="H204" s="8">
        <v>2916254.08</v>
      </c>
      <c r="I204" s="3">
        <v>6733525.7000000002</v>
      </c>
      <c r="J204" s="3">
        <v>1029018.64</v>
      </c>
      <c r="K204" s="4">
        <v>5478849.79</v>
      </c>
      <c r="L204" s="3">
        <v>272209.88</v>
      </c>
      <c r="M204" s="3">
        <v>1663481.37</v>
      </c>
      <c r="N204" s="3">
        <v>288885.99</v>
      </c>
      <c r="O204" s="34">
        <v>3601644.23</v>
      </c>
      <c r="P204" s="34">
        <v>10216684.68</v>
      </c>
      <c r="Q204" s="34" t="s">
        <v>25</v>
      </c>
      <c r="R204" s="4">
        <v>2770221.68</v>
      </c>
      <c r="S204" s="3">
        <v>143698182.46000001</v>
      </c>
      <c r="T204" s="4">
        <v>5714559.9500000002</v>
      </c>
      <c r="U204" s="4">
        <v>139408.42000000001</v>
      </c>
      <c r="V204" s="4">
        <v>97448.34</v>
      </c>
      <c r="W204" s="23">
        <v>11085.96</v>
      </c>
      <c r="X204" s="34"/>
      <c r="Y204" s="3">
        <v>212769197.16999999</v>
      </c>
    </row>
    <row r="205" spans="1:25" x14ac:dyDescent="0.3">
      <c r="A205" s="7">
        <v>31017</v>
      </c>
      <c r="B205" s="2">
        <f t="shared" si="3"/>
        <v>9101</v>
      </c>
      <c r="C205" s="3">
        <f>7567277.47-16908.64</f>
        <v>7550368.8300000001</v>
      </c>
      <c r="D205" s="3">
        <v>7572824.9699999997</v>
      </c>
      <c r="E205" s="3">
        <v>1930699.33</v>
      </c>
      <c r="F205" s="4">
        <v>2085129.91</v>
      </c>
      <c r="G205" s="3">
        <v>16803928.98</v>
      </c>
      <c r="H205" s="4">
        <v>2698641.47</v>
      </c>
      <c r="I205" s="3">
        <v>6782920.8799999999</v>
      </c>
      <c r="J205" s="3">
        <v>794822.9</v>
      </c>
      <c r="K205" s="4">
        <v>5767681.8799999999</v>
      </c>
      <c r="L205" s="3">
        <v>271402.62</v>
      </c>
      <c r="M205" s="3">
        <v>1654774.52</v>
      </c>
      <c r="N205" s="3">
        <v>476417.75</v>
      </c>
      <c r="O205" s="34">
        <v>3664181.49</v>
      </c>
      <c r="P205" s="34">
        <v>9706601.4199999999</v>
      </c>
      <c r="Q205" s="34" t="s">
        <v>25</v>
      </c>
      <c r="R205" s="4">
        <v>2975434.48</v>
      </c>
      <c r="S205" s="3">
        <v>146194935.59</v>
      </c>
      <c r="T205" s="4">
        <v>5151906.83</v>
      </c>
      <c r="U205" s="4">
        <v>113053.57</v>
      </c>
      <c r="V205" s="4">
        <v>81194.38</v>
      </c>
      <c r="W205" s="23">
        <v>5415.63</v>
      </c>
      <c r="X205" s="34"/>
      <c r="Y205" s="3">
        <v>222282337.43000001</v>
      </c>
    </row>
    <row r="206" spans="1:25" x14ac:dyDescent="0.3">
      <c r="A206" s="7">
        <v>31048</v>
      </c>
      <c r="B206" s="2">
        <f t="shared" si="3"/>
        <v>9132</v>
      </c>
      <c r="C206" s="3">
        <f>4840240.22-7593.05</f>
        <v>4832647.17</v>
      </c>
      <c r="D206" s="3">
        <v>35691811.450000003</v>
      </c>
      <c r="E206" s="3">
        <v>2620326.46</v>
      </c>
      <c r="F206" s="4">
        <v>3832951.65</v>
      </c>
      <c r="G206" s="3">
        <v>16762841.41</v>
      </c>
      <c r="H206" s="4">
        <v>2705254.11</v>
      </c>
      <c r="I206" s="3">
        <v>6431491.75</v>
      </c>
      <c r="J206" s="3">
        <v>777818.49</v>
      </c>
      <c r="K206" s="4">
        <v>6200979.8700000001</v>
      </c>
      <c r="L206" s="3">
        <v>271826.15000000002</v>
      </c>
      <c r="M206" s="3">
        <v>1767032.57</v>
      </c>
      <c r="N206" s="3">
        <v>220384.3</v>
      </c>
      <c r="O206" s="34">
        <v>4704542.34</v>
      </c>
      <c r="P206" s="34">
        <v>10777583.449999999</v>
      </c>
      <c r="Q206" s="34" t="s">
        <v>25</v>
      </c>
      <c r="R206" s="4">
        <v>3569463.66</v>
      </c>
      <c r="S206" s="3">
        <v>169676939.72999999</v>
      </c>
      <c r="T206" s="4">
        <v>6151981.3600000003</v>
      </c>
      <c r="U206" s="4">
        <v>114062.41</v>
      </c>
      <c r="V206" s="4">
        <v>92123.22</v>
      </c>
      <c r="W206" s="23">
        <v>8923.0400000000009</v>
      </c>
      <c r="X206" s="34"/>
      <c r="Y206" s="3">
        <v>277210984.58999997</v>
      </c>
    </row>
    <row r="207" spans="1:25" x14ac:dyDescent="0.3">
      <c r="A207" s="7">
        <v>31079</v>
      </c>
      <c r="B207" s="2">
        <f t="shared" si="3"/>
        <v>9163</v>
      </c>
      <c r="C207" s="3">
        <f>3536236.16-11789.55</f>
        <v>3524446.6100000003</v>
      </c>
      <c r="D207" s="3">
        <v>10491557.310000001</v>
      </c>
      <c r="E207" s="3">
        <v>1616671.67</v>
      </c>
      <c r="F207" s="4">
        <v>1717402.34</v>
      </c>
      <c r="G207" s="3">
        <v>15224698.67</v>
      </c>
      <c r="H207" s="4">
        <v>2535845.29</v>
      </c>
      <c r="I207" s="3">
        <v>5573213.7599999998</v>
      </c>
      <c r="J207" s="3">
        <v>871107.19</v>
      </c>
      <c r="K207" s="4">
        <v>7342245.6200000001</v>
      </c>
      <c r="L207" s="3">
        <v>201812.26</v>
      </c>
      <c r="M207" s="3">
        <v>1378547.44</v>
      </c>
      <c r="N207" s="3">
        <v>213311.63</v>
      </c>
      <c r="O207" s="34">
        <v>3413563.3</v>
      </c>
      <c r="P207" s="34">
        <v>10396540.210000001</v>
      </c>
      <c r="Q207" s="34" t="s">
        <v>25</v>
      </c>
      <c r="R207" s="4">
        <v>2362324.88</v>
      </c>
      <c r="S207" s="3">
        <v>119296912.16</v>
      </c>
      <c r="T207" s="4">
        <v>3746690.91</v>
      </c>
      <c r="U207" s="4">
        <v>115490.08</v>
      </c>
      <c r="V207" s="4">
        <v>86899.47</v>
      </c>
      <c r="W207" s="23">
        <v>7157.36</v>
      </c>
      <c r="X207" s="34"/>
      <c r="Y207" s="3">
        <v>190116438.16</v>
      </c>
    </row>
    <row r="208" spans="1:25" x14ac:dyDescent="0.3">
      <c r="A208" s="7">
        <v>31107</v>
      </c>
      <c r="B208" s="2">
        <f t="shared" si="3"/>
        <v>9191</v>
      </c>
      <c r="C208" s="3">
        <f>18885657.78+4468.6</f>
        <v>18890126.380000003</v>
      </c>
      <c r="D208" s="3">
        <v>20210557.469999999</v>
      </c>
      <c r="E208" s="3">
        <v>4132474.23</v>
      </c>
      <c r="F208" s="4">
        <v>2528943.31</v>
      </c>
      <c r="G208" s="3">
        <v>12754531.029999999</v>
      </c>
      <c r="H208" s="4">
        <v>2271304.37</v>
      </c>
      <c r="I208" s="3">
        <v>6295685.9800000004</v>
      </c>
      <c r="J208" s="3">
        <v>869570.91</v>
      </c>
      <c r="K208" s="4">
        <v>17327464.489999998</v>
      </c>
      <c r="L208" s="3">
        <v>341747.44</v>
      </c>
      <c r="M208" s="3">
        <v>1473028.22</v>
      </c>
      <c r="N208" s="3">
        <v>407639.57</v>
      </c>
      <c r="O208" s="34">
        <v>2758318.26</v>
      </c>
      <c r="P208" s="34">
        <v>9601856.5999999996</v>
      </c>
      <c r="Q208" s="34" t="s">
        <v>25</v>
      </c>
      <c r="R208" s="4">
        <v>2257943.63</v>
      </c>
      <c r="S208" s="3">
        <v>125063111.17</v>
      </c>
      <c r="T208" s="4">
        <v>4224836.22</v>
      </c>
      <c r="U208" s="4">
        <f>128347.36-14.67</f>
        <v>128332.69</v>
      </c>
      <c r="V208" s="4">
        <v>70723.73</v>
      </c>
      <c r="W208" s="23">
        <v>6721.18</v>
      </c>
      <c r="X208" s="34"/>
      <c r="Y208" s="3">
        <v>231614916.88</v>
      </c>
    </row>
    <row r="209" spans="1:25" x14ac:dyDescent="0.3">
      <c r="A209" s="7">
        <v>31138</v>
      </c>
      <c r="B209" s="2">
        <f t="shared" si="3"/>
        <v>9222</v>
      </c>
      <c r="C209" s="3">
        <f>45159230.86-117.45</f>
        <v>45159113.409999996</v>
      </c>
      <c r="D209" s="3">
        <v>70739078.129999995</v>
      </c>
      <c r="E209" s="3">
        <v>45705846.729999997</v>
      </c>
      <c r="F209" s="4">
        <v>5174463.38</v>
      </c>
      <c r="G209" s="3">
        <v>14821393.93</v>
      </c>
      <c r="H209" s="4">
        <v>2352594.08</v>
      </c>
      <c r="I209" s="3">
        <v>7093750.1900000004</v>
      </c>
      <c r="J209" s="3">
        <v>979673.75</v>
      </c>
      <c r="K209" s="4">
        <v>27347677.809999999</v>
      </c>
      <c r="L209" s="3">
        <v>370154.19</v>
      </c>
      <c r="M209" s="3">
        <v>1666974.55</v>
      </c>
      <c r="N209" s="3">
        <v>417434.01</v>
      </c>
      <c r="O209" s="34">
        <v>3639310.33</v>
      </c>
      <c r="P209" s="34">
        <v>9911079.3100000005</v>
      </c>
      <c r="Q209" s="34" t="s">
        <v>25</v>
      </c>
      <c r="R209" s="4">
        <v>2278766.9500000002</v>
      </c>
      <c r="S209" s="3">
        <v>145334227.38999999</v>
      </c>
      <c r="T209" s="4">
        <v>6249941.3600000003</v>
      </c>
      <c r="U209" s="4">
        <f>126251.08-21860.4</f>
        <v>104390.68</v>
      </c>
      <c r="V209" s="4">
        <v>86167.41</v>
      </c>
      <c r="W209" s="23">
        <v>7914.53</v>
      </c>
      <c r="X209" s="34"/>
      <c r="Y209" s="3">
        <v>389439952.12</v>
      </c>
    </row>
    <row r="210" spans="1:25" x14ac:dyDescent="0.3">
      <c r="A210" s="7">
        <v>31168</v>
      </c>
      <c r="B210" s="2">
        <f t="shared" si="3"/>
        <v>9252</v>
      </c>
      <c r="C210" s="3">
        <f>6033276.95-2439.93</f>
        <v>6030837.0200000005</v>
      </c>
      <c r="D210" s="3">
        <v>11655799.09</v>
      </c>
      <c r="E210" s="3">
        <v>846236.91</v>
      </c>
      <c r="F210" s="4">
        <v>2143013</v>
      </c>
      <c r="G210" s="3">
        <v>16400577.960000001</v>
      </c>
      <c r="H210" s="4">
        <v>2647106.79</v>
      </c>
      <c r="I210" s="3">
        <v>7178112.3399999999</v>
      </c>
      <c r="J210" s="3">
        <v>1086933.8799999999</v>
      </c>
      <c r="K210" s="4">
        <v>15488069.51</v>
      </c>
      <c r="L210" s="3">
        <v>353930.58</v>
      </c>
      <c r="M210" s="3">
        <v>1635850.97</v>
      </c>
      <c r="N210" s="3">
        <v>372546.52</v>
      </c>
      <c r="O210" s="34">
        <v>3770646.46</v>
      </c>
      <c r="P210" s="34">
        <v>10663584.6</v>
      </c>
      <c r="Q210" s="34" t="s">
        <v>25</v>
      </c>
      <c r="R210" s="4">
        <v>2575622.31</v>
      </c>
      <c r="S210" s="3">
        <v>149720509.36000001</v>
      </c>
      <c r="T210" s="4">
        <v>4172692.75</v>
      </c>
      <c r="U210" s="4">
        <f>126115.66+21803.89</f>
        <v>147919.54999999999</v>
      </c>
      <c r="V210" s="4">
        <v>89063.7</v>
      </c>
      <c r="W210" s="23">
        <v>5324.75</v>
      </c>
      <c r="X210" s="34"/>
      <c r="Y210" s="3">
        <v>236984378.05000001</v>
      </c>
    </row>
    <row r="211" spans="1:25" x14ac:dyDescent="0.3">
      <c r="A211" s="7">
        <v>31199</v>
      </c>
      <c r="B211" s="2">
        <f t="shared" si="3"/>
        <v>9283</v>
      </c>
      <c r="C211" s="3">
        <f>4647510.14+5938.92</f>
        <v>4653449.0599999996</v>
      </c>
      <c r="D211" s="3">
        <v>8435989.0500000007</v>
      </c>
      <c r="E211" s="3">
        <v>693888.73</v>
      </c>
      <c r="F211" s="4">
        <v>2201744.2400000002</v>
      </c>
      <c r="G211" s="3">
        <v>16887993.75</v>
      </c>
      <c r="H211" s="4">
        <v>2788135.83</v>
      </c>
      <c r="I211" s="3">
        <v>6913739.9699999997</v>
      </c>
      <c r="J211" s="3">
        <v>1114881.17</v>
      </c>
      <c r="K211" s="4">
        <v>9387316.5800000001</v>
      </c>
      <c r="L211" s="3">
        <v>322050.28000000003</v>
      </c>
      <c r="M211" s="3">
        <v>1549697.18</v>
      </c>
      <c r="N211" s="3">
        <v>5180995.2</v>
      </c>
      <c r="O211" s="34">
        <v>4028217.3</v>
      </c>
      <c r="P211" s="34">
        <v>12506114.73</v>
      </c>
      <c r="Q211" s="34" t="s">
        <v>25</v>
      </c>
      <c r="R211" s="4">
        <v>2685480.66</v>
      </c>
      <c r="S211" s="3">
        <v>153858950.90000001</v>
      </c>
      <c r="T211" s="4">
        <v>4872502.1900000004</v>
      </c>
      <c r="U211" s="4">
        <v>150808.75</v>
      </c>
      <c r="V211" s="4">
        <v>83766.48</v>
      </c>
      <c r="W211" s="23">
        <v>-2714.78</v>
      </c>
      <c r="X211" s="34"/>
      <c r="Y211" s="3">
        <v>238313007.27000001</v>
      </c>
    </row>
    <row r="212" spans="1:25" x14ac:dyDescent="0.3">
      <c r="A212" s="7">
        <v>31229</v>
      </c>
      <c r="B212" s="2">
        <f t="shared" si="3"/>
        <v>9313</v>
      </c>
      <c r="C212" s="3">
        <f>5803082.22-3607.14</f>
        <v>5799475.0800000001</v>
      </c>
      <c r="D212" s="3">
        <v>43887766.789999999</v>
      </c>
      <c r="E212" s="3">
        <v>715572.88</v>
      </c>
      <c r="F212" s="4">
        <v>2006892.3</v>
      </c>
      <c r="G212" s="3">
        <v>20745924.5</v>
      </c>
      <c r="H212" s="4">
        <v>3341982.96</v>
      </c>
      <c r="I212" s="3">
        <v>6978865.9500000002</v>
      </c>
      <c r="J212" s="3">
        <v>1077805.76</v>
      </c>
      <c r="K212" s="4">
        <v>7250107.21</v>
      </c>
      <c r="L212" s="3">
        <v>335471.08</v>
      </c>
      <c r="M212" s="3">
        <v>1715108.65</v>
      </c>
      <c r="N212" s="3">
        <v>1146945.76</v>
      </c>
      <c r="O212" s="34">
        <v>3903111.85</v>
      </c>
      <c r="P212" s="34">
        <v>13439870.890000001</v>
      </c>
      <c r="Q212" s="34" t="s">
        <v>25</v>
      </c>
      <c r="R212" s="4">
        <v>2253317.14</v>
      </c>
      <c r="S212" s="3">
        <v>158145211.16</v>
      </c>
      <c r="T212" s="4">
        <v>7009433.5999999996</v>
      </c>
      <c r="U212" s="4">
        <f>138218.82-295.43</f>
        <v>137923.39000000001</v>
      </c>
      <c r="V212" s="4">
        <v>80347.8</v>
      </c>
      <c r="W212" s="23">
        <v>1491895.52</v>
      </c>
      <c r="X212" s="34"/>
      <c r="Y212" s="3">
        <v>281463030.26999998</v>
      </c>
    </row>
    <row r="213" spans="1:25" x14ac:dyDescent="0.3">
      <c r="A213" s="7">
        <v>31260</v>
      </c>
      <c r="B213" s="2">
        <f t="shared" si="3"/>
        <v>9344</v>
      </c>
      <c r="C213" s="3">
        <f>4273265.08+21157.08</f>
        <v>4294422.16</v>
      </c>
      <c r="D213" s="3">
        <v>9192809.4600000009</v>
      </c>
      <c r="E213" s="3">
        <v>1508134.91</v>
      </c>
      <c r="F213" s="4">
        <v>2195490.94</v>
      </c>
      <c r="G213" s="3">
        <v>25281924.16</v>
      </c>
      <c r="H213" s="4">
        <v>2635071.37</v>
      </c>
      <c r="I213" s="3">
        <v>6870294.5099999998</v>
      </c>
      <c r="J213" s="3">
        <v>1073546.8500000001</v>
      </c>
      <c r="K213" s="4">
        <v>6226682.3799999999</v>
      </c>
      <c r="L213" s="3">
        <v>321904.59000000003</v>
      </c>
      <c r="M213" s="3">
        <v>1620817.1</v>
      </c>
      <c r="N213" s="3">
        <v>190679.24</v>
      </c>
      <c r="O213" s="34">
        <v>4286803.37</v>
      </c>
      <c r="P213" s="34">
        <v>29751932.829999998</v>
      </c>
      <c r="Q213" s="34" t="s">
        <v>25</v>
      </c>
      <c r="R213" s="4">
        <v>2479606.0299999998</v>
      </c>
      <c r="S213" s="3">
        <v>151709435.47</v>
      </c>
      <c r="T213" s="4">
        <v>5374378.4000000004</v>
      </c>
      <c r="U213" s="4">
        <v>117251.6</v>
      </c>
      <c r="V213" s="4">
        <v>79736.55</v>
      </c>
      <c r="W213" s="23">
        <v>128263.31</v>
      </c>
      <c r="X213" s="34"/>
      <c r="Y213" s="3">
        <v>255339185.22999999</v>
      </c>
    </row>
    <row r="214" spans="1:25" x14ac:dyDescent="0.3">
      <c r="A214" s="7">
        <v>31291</v>
      </c>
      <c r="B214" s="2">
        <f t="shared" si="3"/>
        <v>9375</v>
      </c>
      <c r="C214" s="3">
        <f>11521260.76+10477.6</f>
        <v>11531738.359999999</v>
      </c>
      <c r="D214" s="3">
        <v>13509798.27</v>
      </c>
      <c r="E214" s="3">
        <v>623888</v>
      </c>
      <c r="F214" s="4">
        <v>3042935.59</v>
      </c>
      <c r="G214" s="3">
        <v>25913984.73</v>
      </c>
      <c r="H214" s="4">
        <v>3043546.84</v>
      </c>
      <c r="I214" s="3">
        <v>6536113.5</v>
      </c>
      <c r="J214" s="3">
        <v>1009149.41</v>
      </c>
      <c r="K214" s="4">
        <v>5754011.9199999999</v>
      </c>
      <c r="L214" s="3">
        <v>346936.14</v>
      </c>
      <c r="M214" s="3">
        <v>1697906.65</v>
      </c>
      <c r="N214" s="3">
        <v>395903.14</v>
      </c>
      <c r="O214" s="34">
        <v>4797308.13</v>
      </c>
      <c r="P214" s="34">
        <v>10293594.869999999</v>
      </c>
      <c r="Q214" s="34" t="s">
        <v>25</v>
      </c>
      <c r="R214" s="4">
        <v>2655670.5299999998</v>
      </c>
      <c r="S214" s="3">
        <v>161754658.31</v>
      </c>
      <c r="T214" s="4">
        <v>3758931.97</v>
      </c>
      <c r="U214" s="4">
        <v>135993.07999999999</v>
      </c>
      <c r="V214" s="4">
        <v>81577.850000000006</v>
      </c>
      <c r="W214" s="23">
        <v>73113.84</v>
      </c>
      <c r="X214" s="34"/>
      <c r="Y214" s="3">
        <v>256956761.13</v>
      </c>
    </row>
    <row r="215" spans="1:25" x14ac:dyDescent="0.3">
      <c r="A215" s="7">
        <v>31321</v>
      </c>
      <c r="B215" s="2">
        <f t="shared" si="3"/>
        <v>9405</v>
      </c>
      <c r="C215" s="3">
        <f>10823861.94+5615.29</f>
        <v>10829477.229999999</v>
      </c>
      <c r="D215" s="3">
        <v>37099066.850000001</v>
      </c>
      <c r="E215" s="3">
        <v>1321813.33</v>
      </c>
      <c r="F215" s="4">
        <v>1748377.26</v>
      </c>
      <c r="G215" s="3">
        <v>22142165.890000001</v>
      </c>
      <c r="H215" s="4">
        <v>2805509.26</v>
      </c>
      <c r="I215" s="3">
        <v>7052645.5800000001</v>
      </c>
      <c r="J215" s="3">
        <v>973008.12</v>
      </c>
      <c r="K215" s="4">
        <v>6441068.5999999996</v>
      </c>
      <c r="L215" s="3">
        <v>349086.17</v>
      </c>
      <c r="M215" s="3">
        <v>1585068.81</v>
      </c>
      <c r="N215" s="3">
        <v>324882.63</v>
      </c>
      <c r="O215" s="34">
        <v>4501757.6100000003</v>
      </c>
      <c r="P215" s="34">
        <v>10342018.43</v>
      </c>
      <c r="Q215" s="34" t="s">
        <v>25</v>
      </c>
      <c r="R215" s="4">
        <v>3622637.19</v>
      </c>
      <c r="S215" s="3">
        <v>157236459.78999999</v>
      </c>
      <c r="T215" s="4">
        <v>7540800.96</v>
      </c>
      <c r="U215" s="4">
        <f>155635.36-277.79</f>
        <v>155357.56999999998</v>
      </c>
      <c r="V215" s="4">
        <v>77868.820000000007</v>
      </c>
      <c r="W215" s="23">
        <v>39137.5</v>
      </c>
      <c r="X215" s="34"/>
      <c r="Y215" s="3">
        <v>276188207.60000002</v>
      </c>
    </row>
    <row r="216" spans="1:25" x14ac:dyDescent="0.3">
      <c r="A216" s="7">
        <v>31352</v>
      </c>
      <c r="B216" s="2">
        <f t="shared" si="3"/>
        <v>9436</v>
      </c>
      <c r="C216" s="3">
        <f>6359989.39-10266.93</f>
        <v>6349722.46</v>
      </c>
      <c r="D216" s="3">
        <v>7057402.8600000003</v>
      </c>
      <c r="E216" s="3">
        <v>330850.02</v>
      </c>
      <c r="F216" s="4">
        <v>1704239.08</v>
      </c>
      <c r="G216" s="3">
        <v>23368372.629999999</v>
      </c>
      <c r="H216" s="4">
        <v>2931435.16</v>
      </c>
      <c r="I216" s="3">
        <v>6211698.5599999996</v>
      </c>
      <c r="J216" s="3">
        <v>917273.13</v>
      </c>
      <c r="K216" s="4">
        <v>6010170.4100000001</v>
      </c>
      <c r="L216" s="3">
        <v>247700.76</v>
      </c>
      <c r="M216" s="3">
        <v>1731698.24</v>
      </c>
      <c r="N216" s="3">
        <v>202303.56</v>
      </c>
      <c r="O216" s="34">
        <v>4623688</v>
      </c>
      <c r="P216" s="34">
        <v>11181241.300000001</v>
      </c>
      <c r="Q216" s="34" t="s">
        <v>25</v>
      </c>
      <c r="R216" s="4">
        <v>1834348.07</v>
      </c>
      <c r="S216" s="3">
        <v>153798136.08000001</v>
      </c>
      <c r="T216" s="4">
        <v>5425991.5700000003</v>
      </c>
      <c r="U216" s="4">
        <f>131454.23-625.71</f>
        <v>130828.52</v>
      </c>
      <c r="V216" s="4">
        <v>76767.78</v>
      </c>
      <c r="W216" s="23">
        <v>19412.5</v>
      </c>
      <c r="X216" s="34"/>
      <c r="Y216" s="3">
        <v>234153280.69</v>
      </c>
    </row>
    <row r="217" spans="1:25" x14ac:dyDescent="0.3">
      <c r="A217" s="7">
        <v>31382</v>
      </c>
      <c r="B217" s="2">
        <f t="shared" si="3"/>
        <v>9466</v>
      </c>
      <c r="C217" s="3">
        <f>8789148.08-8478.18</f>
        <v>8780669.9000000004</v>
      </c>
      <c r="D217" s="3">
        <v>4650125.5</v>
      </c>
      <c r="E217" s="3">
        <v>4343903.18</v>
      </c>
      <c r="F217" s="4">
        <v>3780557.68</v>
      </c>
      <c r="G217" s="3">
        <v>22372365.66</v>
      </c>
      <c r="H217" s="4">
        <v>3001324.68</v>
      </c>
      <c r="I217" s="3">
        <v>7183001.25</v>
      </c>
      <c r="J217" s="3">
        <v>819168.96</v>
      </c>
      <c r="K217" s="4">
        <v>5191271.2300000004</v>
      </c>
      <c r="L217" s="3">
        <v>246832.94</v>
      </c>
      <c r="M217" s="3">
        <v>1674234.44</v>
      </c>
      <c r="N217" s="3">
        <v>253725.16</v>
      </c>
      <c r="O217" s="34">
        <v>4261213.49</v>
      </c>
      <c r="P217" s="34">
        <v>9994218.4000000004</v>
      </c>
      <c r="Q217" s="34" t="s">
        <v>25</v>
      </c>
      <c r="R217" s="4">
        <v>2358024.5499999998</v>
      </c>
      <c r="S217" s="3">
        <v>152938596.16999999</v>
      </c>
      <c r="T217" s="4">
        <v>3686524.43</v>
      </c>
      <c r="U217" s="4">
        <v>131125.51</v>
      </c>
      <c r="V217" s="4">
        <v>74921.37</v>
      </c>
      <c r="W217" s="23">
        <v>29357.45</v>
      </c>
      <c r="X217" s="34"/>
      <c r="Y217" s="3">
        <v>235771161.94999999</v>
      </c>
    </row>
    <row r="218" spans="1:25" x14ac:dyDescent="0.3">
      <c r="A218" s="7">
        <v>31413</v>
      </c>
      <c r="B218" s="2">
        <f t="shared" si="3"/>
        <v>9497</v>
      </c>
      <c r="C218" s="3">
        <f>7632448.07+29010.43</f>
        <v>7661458.5</v>
      </c>
      <c r="D218" s="3">
        <v>35259056.380000003</v>
      </c>
      <c r="E218" s="3">
        <v>4380945.5</v>
      </c>
      <c r="F218" s="4">
        <v>2116836.7000000002</v>
      </c>
      <c r="G218" s="3">
        <v>22098031.960000001</v>
      </c>
      <c r="H218" s="4">
        <v>2959920.05</v>
      </c>
      <c r="I218" s="3">
        <v>6181556.2699999996</v>
      </c>
      <c r="J218" s="3">
        <v>851427.85</v>
      </c>
      <c r="K218" s="4">
        <v>7463372.1799999997</v>
      </c>
      <c r="L218" s="3">
        <v>316178.11</v>
      </c>
      <c r="M218" s="3">
        <v>1816500.74</v>
      </c>
      <c r="N218" s="3">
        <v>340043.48</v>
      </c>
      <c r="O218" s="34">
        <v>5768972.6399999997</v>
      </c>
      <c r="P218" s="34">
        <v>10820020.48</v>
      </c>
      <c r="Q218" s="34" t="s">
        <v>25</v>
      </c>
      <c r="R218" s="4">
        <v>3548569.13</v>
      </c>
      <c r="S218" s="3">
        <v>178182527.30000001</v>
      </c>
      <c r="T218" s="4">
        <v>6296040.0800000001</v>
      </c>
      <c r="U218" s="4">
        <v>186220.88</v>
      </c>
      <c r="V218" s="4">
        <v>69984.58</v>
      </c>
      <c r="W218" s="23">
        <v>18200</v>
      </c>
      <c r="X218" s="34"/>
      <c r="Y218" s="3">
        <v>296335862.81</v>
      </c>
    </row>
    <row r="219" spans="1:25" x14ac:dyDescent="0.3">
      <c r="A219" s="7">
        <v>31444</v>
      </c>
      <c r="B219" s="2">
        <f t="shared" si="3"/>
        <v>9528</v>
      </c>
      <c r="C219" s="3">
        <f>4187578.91-1968.94</f>
        <v>4185609.97</v>
      </c>
      <c r="D219" s="3">
        <v>10717510.960000001</v>
      </c>
      <c r="E219" s="3">
        <v>1681656.68</v>
      </c>
      <c r="F219" s="4">
        <v>1378202.54</v>
      </c>
      <c r="G219" s="3">
        <v>21807641.489999998</v>
      </c>
      <c r="H219" s="4">
        <v>2388888.34</v>
      </c>
      <c r="I219" s="3">
        <v>5747596.29</v>
      </c>
      <c r="J219" s="3">
        <v>899491</v>
      </c>
      <c r="K219" s="4">
        <v>9269726.5199999996</v>
      </c>
      <c r="L219" s="3">
        <v>257657.32</v>
      </c>
      <c r="M219" s="3">
        <v>1473820.83</v>
      </c>
      <c r="N219" s="3">
        <v>242131.25</v>
      </c>
      <c r="O219" s="34">
        <v>4084097.71</v>
      </c>
      <c r="P219" s="34">
        <v>10563737.65</v>
      </c>
      <c r="Q219" s="34" t="s">
        <v>25</v>
      </c>
      <c r="R219" s="4">
        <v>2011914.59</v>
      </c>
      <c r="S219" s="3">
        <v>135937738.66999999</v>
      </c>
      <c r="T219" s="4">
        <v>5174464.1100000003</v>
      </c>
      <c r="U219" s="4">
        <v>31160.43</v>
      </c>
      <c r="V219" s="4">
        <v>65628.06</v>
      </c>
      <c r="W219" s="23">
        <v>42332.75</v>
      </c>
      <c r="X219" s="34"/>
      <c r="Y219" s="3">
        <v>217961007.16</v>
      </c>
    </row>
    <row r="220" spans="1:25" x14ac:dyDescent="0.3">
      <c r="A220" s="7">
        <v>31472</v>
      </c>
      <c r="B220" s="2">
        <f t="shared" si="3"/>
        <v>9556</v>
      </c>
      <c r="C220" s="3">
        <f>29808890.41-39461.46</f>
        <v>29769428.949999999</v>
      </c>
      <c r="D220" s="3">
        <v>18512855.120000001</v>
      </c>
      <c r="E220" s="3">
        <v>4608004.0199999996</v>
      </c>
      <c r="F220" s="4">
        <v>1764170.58</v>
      </c>
      <c r="G220" s="3">
        <v>17619987.609999999</v>
      </c>
      <c r="H220" s="4">
        <v>2061742.61</v>
      </c>
      <c r="I220" s="3">
        <v>5903439.2199999997</v>
      </c>
      <c r="J220" s="3">
        <v>862699.69</v>
      </c>
      <c r="K220" s="4">
        <v>17661035.129999999</v>
      </c>
      <c r="L220" s="3">
        <v>318289.49</v>
      </c>
      <c r="M220" s="3">
        <v>1476176.4</v>
      </c>
      <c r="N220" s="3">
        <v>373835.66</v>
      </c>
      <c r="O220" s="34">
        <v>3268733.81</v>
      </c>
      <c r="P220" s="34">
        <v>9946883.8599999994</v>
      </c>
      <c r="Q220" s="34" t="s">
        <v>25</v>
      </c>
      <c r="R220" s="4">
        <v>2100786</v>
      </c>
      <c r="S220" s="3">
        <v>130618411.56999999</v>
      </c>
      <c r="T220" s="4">
        <v>3569065.66</v>
      </c>
      <c r="U220" s="4">
        <f>123672.12-3282.54</f>
        <v>120389.58</v>
      </c>
      <c r="V220" s="4">
        <v>51396.34</v>
      </c>
      <c r="W220" s="23">
        <v>34696.69</v>
      </c>
      <c r="X220" s="34"/>
      <c r="Y220" s="3">
        <v>250642027.99000001</v>
      </c>
    </row>
    <row r="221" spans="1:25" x14ac:dyDescent="0.3">
      <c r="A221" s="7">
        <v>31503</v>
      </c>
      <c r="B221" s="2">
        <f t="shared" si="3"/>
        <v>9587</v>
      </c>
      <c r="C221" s="3">
        <f>43737129.25+13237.39</f>
        <v>43750366.640000001</v>
      </c>
      <c r="D221" s="3">
        <v>65463222.140000001</v>
      </c>
      <c r="E221" s="3">
        <v>46236021.130000003</v>
      </c>
      <c r="F221" s="4">
        <v>4866432.49</v>
      </c>
      <c r="G221" s="3">
        <v>21332147.760000002</v>
      </c>
      <c r="H221" s="4">
        <v>2641003.0499999998</v>
      </c>
      <c r="I221" s="3">
        <v>6993026.8700000001</v>
      </c>
      <c r="J221" s="3">
        <v>1078815.29</v>
      </c>
      <c r="K221" s="4">
        <v>25235951.82</v>
      </c>
      <c r="L221" s="3">
        <v>384779.87</v>
      </c>
      <c r="M221" s="3">
        <v>1704407.36</v>
      </c>
      <c r="N221" s="3">
        <v>281613.24</v>
      </c>
      <c r="O221" s="34">
        <v>4364277.5999999996</v>
      </c>
      <c r="P221" s="34">
        <v>10575467.08</v>
      </c>
      <c r="Q221" s="34" t="s">
        <v>25</v>
      </c>
      <c r="R221" s="4">
        <v>2273394.41</v>
      </c>
      <c r="S221" s="3">
        <v>152291812.19</v>
      </c>
      <c r="T221" s="4">
        <v>6236280.7300000004</v>
      </c>
      <c r="U221" s="4">
        <v>126199.64</v>
      </c>
      <c r="V221" s="4">
        <v>40699.26</v>
      </c>
      <c r="W221" s="23">
        <v>10243.799999999999</v>
      </c>
      <c r="X221" s="34"/>
      <c r="Y221" s="3">
        <v>395886162.37</v>
      </c>
    </row>
    <row r="222" spans="1:25" x14ac:dyDescent="0.3">
      <c r="A222" s="7">
        <v>31533</v>
      </c>
      <c r="B222" s="2">
        <f t="shared" si="3"/>
        <v>9617</v>
      </c>
      <c r="C222" s="3">
        <f>5327606.16+269.6</f>
        <v>5327875.76</v>
      </c>
      <c r="D222" s="3">
        <v>11535790.880000001</v>
      </c>
      <c r="E222" s="3">
        <v>955562.05</v>
      </c>
      <c r="F222" s="4">
        <v>1868166.62</v>
      </c>
      <c r="G222" s="3">
        <v>21746952.050000001</v>
      </c>
      <c r="H222" s="4">
        <v>2692130.95</v>
      </c>
      <c r="I222" s="3">
        <v>7234616.0199999996</v>
      </c>
      <c r="J222" s="3">
        <v>1107844.53</v>
      </c>
      <c r="K222" s="4">
        <v>18066207.859999999</v>
      </c>
      <c r="L222" s="3">
        <v>349048.62</v>
      </c>
      <c r="M222" s="3">
        <v>1626283.85</v>
      </c>
      <c r="N222" s="3">
        <v>290233.03999999998</v>
      </c>
      <c r="O222" s="34">
        <v>4685774</v>
      </c>
      <c r="P222" s="34">
        <v>10504785.060000001</v>
      </c>
      <c r="Q222" s="34" t="s">
        <v>25</v>
      </c>
      <c r="R222" s="4">
        <v>2504563.77</v>
      </c>
      <c r="S222" s="3">
        <v>160376661.24000001</v>
      </c>
      <c r="T222" s="4">
        <v>5063179.4000000004</v>
      </c>
      <c r="U222" s="4">
        <f>135662.96-415.81</f>
        <v>135247.15</v>
      </c>
      <c r="V222" s="4">
        <v>44280.21</v>
      </c>
      <c r="W222" s="23">
        <v>2674.2</v>
      </c>
      <c r="X222" s="34"/>
      <c r="Y222" s="3">
        <v>256117877.25999999</v>
      </c>
    </row>
    <row r="223" spans="1:25" x14ac:dyDescent="0.3">
      <c r="A223" s="7">
        <v>31564</v>
      </c>
      <c r="B223" s="2">
        <f t="shared" si="3"/>
        <v>9648</v>
      </c>
      <c r="C223" s="3">
        <f>5360140.16-2286.85</f>
        <v>5357853.3100000005</v>
      </c>
      <c r="D223" s="3">
        <v>11732160.58</v>
      </c>
      <c r="E223" s="3">
        <v>725300.95</v>
      </c>
      <c r="F223" s="4">
        <v>2339647.7200000002</v>
      </c>
      <c r="G223" s="3">
        <v>27169829.809999999</v>
      </c>
      <c r="H223" s="4">
        <v>3302018.58</v>
      </c>
      <c r="I223" s="3">
        <v>7550513.0499999998</v>
      </c>
      <c r="J223" s="3">
        <v>1197406.73</v>
      </c>
      <c r="K223" s="4">
        <v>9387006.3300000001</v>
      </c>
      <c r="L223" s="3">
        <v>356120.89</v>
      </c>
      <c r="M223" s="3">
        <v>1784629.17</v>
      </c>
      <c r="N223" s="3">
        <v>6319284.2300000004</v>
      </c>
      <c r="O223" s="34">
        <v>5060389.16</v>
      </c>
      <c r="P223" s="34">
        <v>10579798.800000001</v>
      </c>
      <c r="Q223" s="34" t="s">
        <v>25</v>
      </c>
      <c r="R223" s="4">
        <v>2441293.4700000002</v>
      </c>
      <c r="S223" s="3">
        <v>165178562.75</v>
      </c>
      <c r="T223" s="4">
        <v>4783827.3099999996</v>
      </c>
      <c r="U223" s="4">
        <v>124531</v>
      </c>
      <c r="V223" s="4">
        <v>40615.54</v>
      </c>
      <c r="W223" s="23">
        <v>1738.08</v>
      </c>
      <c r="X223" s="34"/>
      <c r="Y223" s="3">
        <v>265432527.46000001</v>
      </c>
    </row>
    <row r="224" spans="1:25" x14ac:dyDescent="0.3">
      <c r="A224" s="7">
        <v>31594</v>
      </c>
      <c r="B224" s="2">
        <f t="shared" si="3"/>
        <v>9678</v>
      </c>
      <c r="C224" s="3">
        <f>6320846.75+246.07</f>
        <v>6321092.8200000003</v>
      </c>
      <c r="D224" s="3">
        <v>42383000.119999997</v>
      </c>
      <c r="E224" s="3">
        <v>832321.16</v>
      </c>
      <c r="F224" s="4">
        <v>2266630.38</v>
      </c>
      <c r="G224" s="3">
        <v>35645231.020000003</v>
      </c>
      <c r="H224" s="4">
        <v>2893244.17</v>
      </c>
      <c r="I224" s="3">
        <v>6770647.1399999997</v>
      </c>
      <c r="J224" s="3">
        <v>1155909.29</v>
      </c>
      <c r="K224" s="4">
        <v>7475085.1200000001</v>
      </c>
      <c r="L224" s="3">
        <v>412274.73</v>
      </c>
      <c r="M224" s="3">
        <v>1651700.02</v>
      </c>
      <c r="N224" s="3">
        <v>511929.65</v>
      </c>
      <c r="O224" s="34">
        <v>5716375.0899999999</v>
      </c>
      <c r="P224" s="34">
        <v>24472888.850000001</v>
      </c>
      <c r="Q224" s="34" t="s">
        <v>25</v>
      </c>
      <c r="R224" s="4">
        <v>2303680.85</v>
      </c>
      <c r="S224" s="3">
        <v>165049738.31999999</v>
      </c>
      <c r="T224" s="4">
        <v>7348892.6299999999</v>
      </c>
      <c r="U224" s="4">
        <v>109832.18</v>
      </c>
      <c r="V224" s="4">
        <v>34845.949999999997</v>
      </c>
      <c r="W224" s="23">
        <v>1228188.7</v>
      </c>
      <c r="X224" s="34"/>
      <c r="Y224" s="3">
        <v>314583508.19</v>
      </c>
    </row>
    <row r="225" spans="1:25" x14ac:dyDescent="0.3">
      <c r="A225" s="7">
        <v>31625</v>
      </c>
      <c r="B225" s="2">
        <f t="shared" si="3"/>
        <v>9709</v>
      </c>
      <c r="C225" s="3">
        <f>4424015.39-73.21</f>
        <v>4423942.18</v>
      </c>
      <c r="D225" s="3">
        <v>13072282.26</v>
      </c>
      <c r="E225" s="3">
        <v>1424708.53</v>
      </c>
      <c r="F225" s="4">
        <v>2369043.36</v>
      </c>
      <c r="G225" s="3">
        <v>31987602.16</v>
      </c>
      <c r="H225" s="4">
        <v>2587648.39</v>
      </c>
      <c r="I225" s="3">
        <v>6659357.2999999998</v>
      </c>
      <c r="J225" s="3">
        <v>1130644.6599999999</v>
      </c>
      <c r="K225" s="4">
        <v>6230409.3799999999</v>
      </c>
      <c r="L225" s="3">
        <v>399317.79</v>
      </c>
      <c r="M225" s="3">
        <v>1652114.81</v>
      </c>
      <c r="N225" s="3">
        <v>241791.7</v>
      </c>
      <c r="O225" s="34">
        <v>5462368.3799999999</v>
      </c>
      <c r="P225" s="34">
        <v>18466830.039999999</v>
      </c>
      <c r="Q225" s="34" t="s">
        <v>25</v>
      </c>
      <c r="R225" s="4">
        <v>2261729.79</v>
      </c>
      <c r="S225" s="3">
        <v>163240940.94999999</v>
      </c>
      <c r="T225" s="4">
        <v>5172954.84</v>
      </c>
      <c r="U225" s="4">
        <v>93446.51</v>
      </c>
      <c r="V225" s="4">
        <v>29989.25</v>
      </c>
      <c r="W225" s="23">
        <v>36463</v>
      </c>
      <c r="X225" s="34"/>
      <c r="Y225" s="3">
        <v>266943585.28</v>
      </c>
    </row>
    <row r="226" spans="1:25" x14ac:dyDescent="0.3">
      <c r="A226" s="7">
        <v>31656</v>
      </c>
      <c r="B226" s="2">
        <f t="shared" si="3"/>
        <v>9740</v>
      </c>
      <c r="C226" s="3">
        <f>9531766.59+20956</f>
        <v>9552722.5899999999</v>
      </c>
      <c r="D226" s="3">
        <v>12619952.710000001</v>
      </c>
      <c r="E226" s="3">
        <v>561023.03</v>
      </c>
      <c r="F226" s="4">
        <v>3567965.45</v>
      </c>
      <c r="G226" s="3">
        <v>35223610.039999999</v>
      </c>
      <c r="H226" s="4">
        <v>3050971.43</v>
      </c>
      <c r="I226" s="3">
        <v>7124035.0700000003</v>
      </c>
      <c r="J226" s="3">
        <v>1172877.6000000001</v>
      </c>
      <c r="K226" s="4">
        <v>6070303.2000000002</v>
      </c>
      <c r="L226" s="3">
        <v>422208.14</v>
      </c>
      <c r="M226" s="3">
        <v>1814569.46</v>
      </c>
      <c r="N226" s="3">
        <v>238659.69</v>
      </c>
      <c r="O226" s="34">
        <v>5402413.1699999999</v>
      </c>
      <c r="P226" s="34">
        <v>11118872.84</v>
      </c>
      <c r="Q226" s="34" t="s">
        <v>25</v>
      </c>
      <c r="R226" s="4">
        <v>2429410.86</v>
      </c>
      <c r="S226" s="3">
        <v>177278227.22</v>
      </c>
      <c r="T226" s="4">
        <v>6305673.9400000004</v>
      </c>
      <c r="U226" s="4">
        <v>98474.37</v>
      </c>
      <c r="V226" s="4">
        <v>24222.959999999999</v>
      </c>
      <c r="W226" s="23">
        <v>37603.93</v>
      </c>
      <c r="X226" s="34"/>
      <c r="Y226" s="3">
        <v>284113797.69999999</v>
      </c>
    </row>
    <row r="227" spans="1:25" x14ac:dyDescent="0.3">
      <c r="A227" s="7">
        <v>31686</v>
      </c>
      <c r="B227" s="2">
        <f t="shared" si="3"/>
        <v>9770</v>
      </c>
      <c r="C227" s="3">
        <f>12897668.76-20235.22</f>
        <v>12877433.539999999</v>
      </c>
      <c r="D227" s="3">
        <v>27687177.550000001</v>
      </c>
      <c r="E227" s="3">
        <v>1459420.62</v>
      </c>
      <c r="F227" s="4">
        <v>1419698.85</v>
      </c>
      <c r="G227" s="3">
        <v>30583969.030000001</v>
      </c>
      <c r="H227" s="4">
        <v>2665127.7400000002</v>
      </c>
      <c r="I227" s="3">
        <v>6917708.9800000004</v>
      </c>
      <c r="J227" s="3">
        <v>1028907.81</v>
      </c>
      <c r="K227" s="4">
        <v>6887798.9500000002</v>
      </c>
      <c r="L227" s="3">
        <v>419955.4</v>
      </c>
      <c r="M227" s="3">
        <v>1647316.48</v>
      </c>
      <c r="N227" s="3">
        <v>341508.71</v>
      </c>
      <c r="O227" s="34">
        <v>5585111.8300000001</v>
      </c>
      <c r="P227" s="34">
        <v>11518749.24</v>
      </c>
      <c r="Q227" s="34" t="s">
        <v>25</v>
      </c>
      <c r="R227" s="4">
        <v>2352673.5699999998</v>
      </c>
      <c r="S227" s="3">
        <v>170054496.50999999</v>
      </c>
      <c r="T227" s="4">
        <v>7775268.9000000004</v>
      </c>
      <c r="U227" s="4">
        <f>106582.95-18.4</f>
        <v>106564.55</v>
      </c>
      <c r="V227" s="4">
        <v>25350.5</v>
      </c>
      <c r="W227" s="23">
        <v>31816.43</v>
      </c>
      <c r="X227" s="34"/>
      <c r="Y227" s="3">
        <v>291386055.19</v>
      </c>
    </row>
    <row r="228" spans="1:25" x14ac:dyDescent="0.3">
      <c r="A228" s="7">
        <v>31717</v>
      </c>
      <c r="B228" s="2">
        <f t="shared" si="3"/>
        <v>9801</v>
      </c>
      <c r="C228" s="3">
        <f>6803887.69-766.37</f>
        <v>6803121.3200000003</v>
      </c>
      <c r="D228" s="3">
        <v>9102840.4399999995</v>
      </c>
      <c r="E228" s="3">
        <v>407156.06</v>
      </c>
      <c r="F228" s="4">
        <v>2415227.77</v>
      </c>
      <c r="G228" s="3">
        <v>30190756.719999999</v>
      </c>
      <c r="H228" s="4">
        <v>3010577.82</v>
      </c>
      <c r="I228" s="3">
        <v>6157318.3700000001</v>
      </c>
      <c r="J228" s="3">
        <v>1043363.24</v>
      </c>
      <c r="K228" s="4">
        <v>5932328.7599999998</v>
      </c>
      <c r="L228" s="3">
        <v>315743.71999999997</v>
      </c>
      <c r="M228" s="3">
        <v>1813516.23</v>
      </c>
      <c r="N228" s="3">
        <v>209112.19</v>
      </c>
      <c r="O228" s="34">
        <v>5908002.5</v>
      </c>
      <c r="P228" s="34">
        <v>11857032.5</v>
      </c>
      <c r="Q228" s="34" t="s">
        <v>25</v>
      </c>
      <c r="R228" s="4">
        <v>2421451.71</v>
      </c>
      <c r="S228" s="3">
        <v>171125326.53</v>
      </c>
      <c r="T228" s="4">
        <v>6633175.9199999999</v>
      </c>
      <c r="U228" s="4">
        <v>131066.32</v>
      </c>
      <c r="V228" s="4">
        <v>26314.7</v>
      </c>
      <c r="W228" s="23">
        <v>20525.48</v>
      </c>
      <c r="X228" s="34"/>
      <c r="Y228" s="3">
        <v>265523958.30000001</v>
      </c>
    </row>
    <row r="229" spans="1:25" x14ac:dyDescent="0.3">
      <c r="A229" s="7">
        <v>31747</v>
      </c>
      <c r="B229" s="2">
        <f t="shared" si="3"/>
        <v>9831</v>
      </c>
      <c r="C229" s="3">
        <f>7186132.3+818.98</f>
        <v>7186951.2800000003</v>
      </c>
      <c r="D229" s="3">
        <v>13708895.560000001</v>
      </c>
      <c r="E229" s="3">
        <v>6506622.0800000001</v>
      </c>
      <c r="F229" s="4">
        <v>3102222.14</v>
      </c>
      <c r="G229" s="3">
        <v>32068080.870000001</v>
      </c>
      <c r="H229" s="4">
        <v>2893199.41</v>
      </c>
      <c r="I229" s="3">
        <v>7374895.1399999997</v>
      </c>
      <c r="J229" s="3">
        <v>842733.29</v>
      </c>
      <c r="K229" s="4">
        <v>5208168.47</v>
      </c>
      <c r="L229" s="3">
        <v>336161.3</v>
      </c>
      <c r="M229" s="3">
        <v>1633036</v>
      </c>
      <c r="N229" s="3">
        <v>202384.59</v>
      </c>
      <c r="O229" s="34">
        <v>4949117.3899999997</v>
      </c>
      <c r="P229" s="34">
        <v>11799928.65</v>
      </c>
      <c r="Q229" s="34" t="s">
        <v>25</v>
      </c>
      <c r="R229" s="4">
        <v>2804777.82</v>
      </c>
      <c r="S229" s="3">
        <v>159240057.91999999</v>
      </c>
      <c r="T229" s="4">
        <v>4851857.5</v>
      </c>
      <c r="U229" s="4">
        <v>88743.86</v>
      </c>
      <c r="V229" s="4">
        <v>22288.54</v>
      </c>
      <c r="W229" s="23">
        <v>5236.2</v>
      </c>
      <c r="X229" s="34"/>
      <c r="Y229" s="3">
        <v>264825358.00999999</v>
      </c>
    </row>
    <row r="230" spans="1:25" x14ac:dyDescent="0.3">
      <c r="A230" s="7">
        <v>31778</v>
      </c>
      <c r="B230" s="2">
        <f t="shared" si="3"/>
        <v>9862</v>
      </c>
      <c r="C230" s="3">
        <f>6421459.36-91.74</f>
        <v>6421367.6200000001</v>
      </c>
      <c r="D230" s="3">
        <v>45286260.329999998</v>
      </c>
      <c r="E230" s="3">
        <v>6448041.0499999998</v>
      </c>
      <c r="F230" s="4">
        <v>1728094.78</v>
      </c>
      <c r="G230" s="3">
        <v>30731324.850000001</v>
      </c>
      <c r="H230" s="4">
        <v>3088122.1</v>
      </c>
      <c r="I230" s="3">
        <v>6003848.1399999997</v>
      </c>
      <c r="J230" s="3">
        <v>821088.07</v>
      </c>
      <c r="K230" s="4">
        <v>6896497.6500000004</v>
      </c>
      <c r="L230" s="3">
        <v>368879.2</v>
      </c>
      <c r="M230" s="3">
        <v>1885380.02</v>
      </c>
      <c r="N230" s="3">
        <v>252481.34</v>
      </c>
      <c r="O230" s="34">
        <v>8100138.2400000002</v>
      </c>
      <c r="P230" s="34">
        <v>9687391.2200000007</v>
      </c>
      <c r="Q230" s="34" t="s">
        <v>25</v>
      </c>
      <c r="R230" s="4">
        <v>3651557.1</v>
      </c>
      <c r="S230" s="3">
        <v>198022009.72</v>
      </c>
      <c r="T230" s="4">
        <v>7570278.75</v>
      </c>
      <c r="U230" s="4">
        <v>89478.87</v>
      </c>
      <c r="V230" s="4">
        <v>28363.31</v>
      </c>
      <c r="W230" s="23">
        <v>10500</v>
      </c>
      <c r="X230" s="34"/>
      <c r="Y230" s="3">
        <v>337091102.36000001</v>
      </c>
    </row>
    <row r="231" spans="1:25" x14ac:dyDescent="0.3">
      <c r="A231" s="7">
        <v>31809</v>
      </c>
      <c r="B231" s="2">
        <f t="shared" si="3"/>
        <v>9893</v>
      </c>
      <c r="C231" s="3">
        <f>4439552.61+6047.51</f>
        <v>4445600.12</v>
      </c>
      <c r="D231" s="3">
        <v>14751336.02</v>
      </c>
      <c r="E231" s="3">
        <v>1785976.29</v>
      </c>
      <c r="F231" s="4">
        <v>2864475</v>
      </c>
      <c r="G231" s="3">
        <v>32887569.539999999</v>
      </c>
      <c r="H231" s="4">
        <v>2682080.79</v>
      </c>
      <c r="I231" s="3">
        <v>5909624.9199999999</v>
      </c>
      <c r="J231" s="3">
        <v>912775.8</v>
      </c>
      <c r="K231" s="4">
        <v>8764447.4100000001</v>
      </c>
      <c r="L231" s="3">
        <v>324687.07</v>
      </c>
      <c r="M231" s="3">
        <v>1593306.86</v>
      </c>
      <c r="N231" s="3">
        <v>150489.85999999999</v>
      </c>
      <c r="O231" s="34">
        <v>5186994.47</v>
      </c>
      <c r="P231" s="34">
        <v>11866443.02</v>
      </c>
      <c r="Q231" s="34" t="s">
        <v>25</v>
      </c>
      <c r="R231" s="4">
        <v>1928353.05</v>
      </c>
      <c r="S231" s="3">
        <v>139540050.16999999</v>
      </c>
      <c r="T231" s="4">
        <v>5166500.05</v>
      </c>
      <c r="U231" s="4">
        <v>88878.91</v>
      </c>
      <c r="V231" s="4">
        <v>30604.67</v>
      </c>
      <c r="W231" s="23">
        <v>12114</v>
      </c>
      <c r="X231" s="34"/>
      <c r="Y231" s="3">
        <v>240892308.02000001</v>
      </c>
    </row>
    <row r="232" spans="1:25" x14ac:dyDescent="0.3">
      <c r="A232" s="7">
        <v>31837</v>
      </c>
      <c r="B232" s="2">
        <f t="shared" si="3"/>
        <v>9921</v>
      </c>
      <c r="C232" s="3">
        <f>34807875.17+2909.64</f>
        <v>34810784.810000002</v>
      </c>
      <c r="D232" s="3">
        <v>20822171.109999999</v>
      </c>
      <c r="E232" s="3">
        <v>4264200.4400000004</v>
      </c>
      <c r="F232" s="4">
        <v>3238171</v>
      </c>
      <c r="G232" s="3">
        <v>24673747.739999998</v>
      </c>
      <c r="H232" s="4">
        <v>2406575.36</v>
      </c>
      <c r="I232" s="3">
        <v>6751526.3499999996</v>
      </c>
      <c r="J232" s="3">
        <v>1060514.6100000001</v>
      </c>
      <c r="K232" s="4">
        <v>19697239.239999998</v>
      </c>
      <c r="L232" s="3">
        <v>436156.45</v>
      </c>
      <c r="M232" s="3">
        <v>1695308.12</v>
      </c>
      <c r="N232" s="3">
        <v>385155.5</v>
      </c>
      <c r="O232" s="34">
        <v>4075682.19</v>
      </c>
      <c r="P232" s="34">
        <v>10416171.970000001</v>
      </c>
      <c r="Q232" s="34" t="s">
        <v>25</v>
      </c>
      <c r="R232" s="4">
        <v>2208035.5299999998</v>
      </c>
      <c r="S232" s="3">
        <v>137774063.41</v>
      </c>
      <c r="T232" s="4">
        <v>5206180.8</v>
      </c>
      <c r="U232" s="4">
        <v>102753.76</v>
      </c>
      <c r="V232" s="4">
        <v>33914.69</v>
      </c>
      <c r="W232" s="23">
        <v>6574.5</v>
      </c>
      <c r="X232" s="34"/>
      <c r="Y232" s="3">
        <v>280064927.57999998</v>
      </c>
    </row>
    <row r="233" spans="1:25" x14ac:dyDescent="0.3">
      <c r="A233" s="7">
        <v>31868</v>
      </c>
      <c r="B233" s="2">
        <f t="shared" si="3"/>
        <v>9952</v>
      </c>
      <c r="C233" s="3">
        <f>46933614.11-190.78</f>
        <v>46933423.329999998</v>
      </c>
      <c r="D233" s="3">
        <v>77413895.099999994</v>
      </c>
      <c r="E233" s="3">
        <v>42815016.079999998</v>
      </c>
      <c r="F233" s="4">
        <v>5606692.7400000002</v>
      </c>
      <c r="G233" s="3">
        <v>31388343.399999999</v>
      </c>
      <c r="H233" s="4">
        <v>2947787.2</v>
      </c>
      <c r="I233" s="3">
        <v>6285322.5700000003</v>
      </c>
      <c r="J233" s="3">
        <v>1108314.96</v>
      </c>
      <c r="K233" s="4">
        <v>26878983.23</v>
      </c>
      <c r="L233" s="3">
        <v>461438.16</v>
      </c>
      <c r="M233" s="3">
        <v>1821956.88</v>
      </c>
      <c r="N233" s="3">
        <v>296488.43</v>
      </c>
      <c r="O233" s="34">
        <v>5563819</v>
      </c>
      <c r="P233" s="34">
        <v>11231950.23</v>
      </c>
      <c r="Q233" s="34" t="s">
        <v>25</v>
      </c>
      <c r="R233" s="4">
        <v>2192571.9900000002</v>
      </c>
      <c r="S233" s="3">
        <v>165134717.18000001</v>
      </c>
      <c r="T233" s="4">
        <v>8323425.7699999996</v>
      </c>
      <c r="U233" s="4">
        <v>109864.24</v>
      </c>
      <c r="V233" s="4">
        <v>31799.84</v>
      </c>
      <c r="W233" s="23">
        <v>5165.1000000000004</v>
      </c>
      <c r="X233" s="34"/>
      <c r="Y233" s="3">
        <v>436550975.43000001</v>
      </c>
    </row>
    <row r="234" spans="1:25" x14ac:dyDescent="0.3">
      <c r="A234" s="7">
        <v>31898</v>
      </c>
      <c r="B234" s="2">
        <f t="shared" si="3"/>
        <v>9982</v>
      </c>
      <c r="C234" s="3">
        <f>5677952.83+273.4</f>
        <v>5678226.2300000004</v>
      </c>
      <c r="D234" s="3">
        <v>9517210.3699999992</v>
      </c>
      <c r="E234" s="3">
        <v>933726.19</v>
      </c>
      <c r="F234" s="4">
        <v>1385034.25</v>
      </c>
      <c r="G234" s="3">
        <v>30540892.239999998</v>
      </c>
      <c r="H234" s="4">
        <v>2724524.65</v>
      </c>
      <c r="I234" s="3">
        <v>7367615.4699999997</v>
      </c>
      <c r="J234" s="3">
        <v>1129950.01</v>
      </c>
      <c r="K234" s="4">
        <v>16428283.4</v>
      </c>
      <c r="L234" s="3">
        <v>403068.09</v>
      </c>
      <c r="M234" s="3">
        <v>1722048.85</v>
      </c>
      <c r="N234" s="3">
        <v>300450.09999999998</v>
      </c>
      <c r="O234" s="34">
        <v>6276297.3899999997</v>
      </c>
      <c r="P234" s="34">
        <v>11357215.57</v>
      </c>
      <c r="Q234" s="34" t="s">
        <v>25</v>
      </c>
      <c r="R234" s="4">
        <v>2672019.91</v>
      </c>
      <c r="S234" s="3">
        <v>166141917.31999999</v>
      </c>
      <c r="T234" s="4">
        <v>6507726.0800000001</v>
      </c>
      <c r="U234" s="4">
        <f>106478.92-614.07</f>
        <v>105864.84999999999</v>
      </c>
      <c r="V234" s="4">
        <v>29717.119999999999</v>
      </c>
      <c r="W234" s="23">
        <v>973.4</v>
      </c>
      <c r="X234" s="34"/>
      <c r="Y234" s="3">
        <v>271222761.49000001</v>
      </c>
    </row>
    <row r="235" spans="1:25" x14ac:dyDescent="0.3">
      <c r="A235" s="7">
        <v>31929</v>
      </c>
      <c r="B235" s="2">
        <f t="shared" si="3"/>
        <v>10013</v>
      </c>
      <c r="C235" s="3">
        <f>5768444.83+24053.84</f>
        <v>5792498.6699999999</v>
      </c>
      <c r="D235" s="3">
        <v>12279338.67</v>
      </c>
      <c r="E235" s="3">
        <v>684389.11</v>
      </c>
      <c r="F235" s="4">
        <v>1793483.18</v>
      </c>
      <c r="G235" s="3">
        <v>33764531.119999997</v>
      </c>
      <c r="H235" s="4">
        <v>3090455.53</v>
      </c>
      <c r="I235" s="3">
        <v>8455257.2400000002</v>
      </c>
      <c r="J235" s="3">
        <v>1107921.07</v>
      </c>
      <c r="K235" s="4">
        <v>9426786.1400000006</v>
      </c>
      <c r="L235" s="3">
        <v>474340.95</v>
      </c>
      <c r="M235" s="3">
        <v>1834535.51</v>
      </c>
      <c r="N235" s="3">
        <v>6449363.9000000004</v>
      </c>
      <c r="O235" s="34">
        <v>5433453.9800000004</v>
      </c>
      <c r="P235" s="34">
        <v>10938500.380000001</v>
      </c>
      <c r="Q235" s="34" t="s">
        <v>25</v>
      </c>
      <c r="R235" s="4">
        <v>2254087.46</v>
      </c>
      <c r="S235" s="3">
        <v>174090399.33000001</v>
      </c>
      <c r="T235" s="4">
        <v>4635596.0599999996</v>
      </c>
      <c r="U235" s="4">
        <v>104263.73</v>
      </c>
      <c r="V235" s="4">
        <v>33873.370000000003</v>
      </c>
      <c r="W235" s="23">
        <v>87.5</v>
      </c>
      <c r="X235" s="34"/>
      <c r="Y235" s="3">
        <v>282643162.89999998</v>
      </c>
    </row>
    <row r="236" spans="1:25" x14ac:dyDescent="0.3">
      <c r="A236" s="7">
        <v>31959</v>
      </c>
      <c r="B236" s="2">
        <f t="shared" si="3"/>
        <v>10043</v>
      </c>
      <c r="C236" s="3">
        <f>5298552.95-23314.72</f>
        <v>5275238.2300000004</v>
      </c>
      <c r="D236" s="3">
        <v>48386598.789999999</v>
      </c>
      <c r="E236" s="3">
        <v>750851.5</v>
      </c>
      <c r="F236" s="4">
        <v>1454795.05</v>
      </c>
      <c r="G236" s="3">
        <v>33501913.039999999</v>
      </c>
      <c r="H236" s="4">
        <v>3036859.33</v>
      </c>
      <c r="I236" s="3">
        <v>6379888.3600000003</v>
      </c>
      <c r="J236" s="3">
        <v>1196878.95</v>
      </c>
      <c r="K236" s="4">
        <v>8320767.0300000003</v>
      </c>
      <c r="L236" s="3">
        <v>420513.83</v>
      </c>
      <c r="M236" s="3">
        <v>1746014.86</v>
      </c>
      <c r="N236" s="3">
        <v>666158.99</v>
      </c>
      <c r="O236" s="34">
        <v>5715679.4500000002</v>
      </c>
      <c r="P236" s="34">
        <v>13433533</v>
      </c>
      <c r="Q236" s="34" t="s">
        <v>25</v>
      </c>
      <c r="R236" s="4">
        <v>2378760.0299999998</v>
      </c>
      <c r="S236" s="8">
        <v>181729785.81</v>
      </c>
      <c r="T236" s="4">
        <v>8837369.5199999996</v>
      </c>
      <c r="U236" s="4">
        <v>96922.57</v>
      </c>
      <c r="V236" s="4">
        <v>33274.04</v>
      </c>
      <c r="W236" s="23">
        <v>1202537.52</v>
      </c>
      <c r="X236" s="34"/>
      <c r="Y236" s="3">
        <v>324564339.89999998</v>
      </c>
    </row>
    <row r="237" spans="1:25" x14ac:dyDescent="0.3">
      <c r="A237" s="7">
        <v>31990</v>
      </c>
      <c r="B237" s="2">
        <f t="shared" si="3"/>
        <v>10074</v>
      </c>
      <c r="C237" s="3">
        <f>5166655.82+407.94</f>
        <v>5167063.7600000007</v>
      </c>
      <c r="D237" s="3">
        <v>13902794.800000001</v>
      </c>
      <c r="E237" s="3">
        <v>1626704.66</v>
      </c>
      <c r="F237" s="4">
        <v>4163776.38</v>
      </c>
      <c r="G237" s="3">
        <v>35027708.740000002</v>
      </c>
      <c r="H237" s="4">
        <v>2972183.53</v>
      </c>
      <c r="I237" s="3">
        <v>6828838.9699999997</v>
      </c>
      <c r="J237" s="3">
        <v>1208561.82</v>
      </c>
      <c r="K237" s="4">
        <v>8105842.6399999997</v>
      </c>
      <c r="L237" s="3">
        <v>442546.38</v>
      </c>
      <c r="M237" s="3">
        <v>1765324.67</v>
      </c>
      <c r="N237" s="3">
        <v>326934.87</v>
      </c>
      <c r="O237" s="34">
        <v>5354489.74</v>
      </c>
      <c r="P237" s="34">
        <v>31864538.16</v>
      </c>
      <c r="Q237" s="34" t="s">
        <v>25</v>
      </c>
      <c r="R237" s="4">
        <v>2083619.88</v>
      </c>
      <c r="S237" s="3">
        <v>178309736.25999999</v>
      </c>
      <c r="T237" s="4">
        <v>6884738.5999999996</v>
      </c>
      <c r="U237" s="4">
        <v>206771.78</v>
      </c>
      <c r="V237" s="4">
        <v>36977.54</v>
      </c>
      <c r="W237" s="23">
        <v>45107.03</v>
      </c>
      <c r="X237" s="34"/>
      <c r="Y237" s="3">
        <v>306324260.20999998</v>
      </c>
    </row>
    <row r="238" spans="1:25" x14ac:dyDescent="0.3">
      <c r="A238" s="7">
        <v>32021</v>
      </c>
      <c r="B238" s="2">
        <f t="shared" si="3"/>
        <v>10105</v>
      </c>
      <c r="C238" s="3">
        <f>11448679.48-7812.21</f>
        <v>11440867.27</v>
      </c>
      <c r="D238" s="3">
        <v>15490588.1</v>
      </c>
      <c r="E238" s="3">
        <v>536317.80000000005</v>
      </c>
      <c r="F238" s="4">
        <v>3787525.33</v>
      </c>
      <c r="G238" s="3">
        <v>31747078.489999998</v>
      </c>
      <c r="H238" s="4">
        <v>2921375.49</v>
      </c>
      <c r="I238" s="3">
        <v>7337104.2800000003</v>
      </c>
      <c r="J238" s="3">
        <v>1057203.1499999999</v>
      </c>
      <c r="K238" s="4">
        <v>7320528.6399999997</v>
      </c>
      <c r="L238" s="3">
        <v>416938.21</v>
      </c>
      <c r="M238" s="3">
        <v>1767038.52</v>
      </c>
      <c r="N238" s="3">
        <v>522274.05</v>
      </c>
      <c r="O238" s="34">
        <v>5024088.84</v>
      </c>
      <c r="P238" s="34">
        <v>9838034.7300000004</v>
      </c>
      <c r="Q238" s="34" t="s">
        <v>25</v>
      </c>
      <c r="R238" s="4">
        <v>2281517.7799999998</v>
      </c>
      <c r="S238" s="3">
        <v>184847620.62</v>
      </c>
      <c r="T238" s="4">
        <v>5725816.0700000003</v>
      </c>
      <c r="U238" s="4">
        <v>108213.47</v>
      </c>
      <c r="V238" s="4">
        <v>35118.18</v>
      </c>
      <c r="W238" s="23">
        <v>33857.21</v>
      </c>
      <c r="X238" s="34"/>
      <c r="Y238" s="3">
        <v>292239106.23000002</v>
      </c>
    </row>
    <row r="239" spans="1:25" x14ac:dyDescent="0.3">
      <c r="A239" s="7">
        <v>32051</v>
      </c>
      <c r="B239" s="2">
        <f t="shared" si="3"/>
        <v>10135</v>
      </c>
      <c r="C239" s="3">
        <f>14999427.28-3999.49</f>
        <v>14995427.789999999</v>
      </c>
      <c r="D239" s="3">
        <v>35961064.25</v>
      </c>
      <c r="E239" s="3">
        <v>1751951.12</v>
      </c>
      <c r="F239" s="4">
        <v>2283902.7000000002</v>
      </c>
      <c r="G239" s="3">
        <v>31832317.719999999</v>
      </c>
      <c r="H239" s="4">
        <v>2992271.3599999999</v>
      </c>
      <c r="I239" s="3">
        <v>6472235.1100000003</v>
      </c>
      <c r="J239" s="3">
        <v>1023472.56</v>
      </c>
      <c r="K239" s="4">
        <v>7083831.4699999997</v>
      </c>
      <c r="L239" s="3">
        <v>401560.22</v>
      </c>
      <c r="M239" s="3">
        <v>1789046.24</v>
      </c>
      <c r="N239" s="3">
        <v>351374.47</v>
      </c>
      <c r="O239" s="34">
        <v>5317742.95</v>
      </c>
      <c r="P239" s="34">
        <v>11626606.720000001</v>
      </c>
      <c r="Q239" s="34" t="s">
        <v>25</v>
      </c>
      <c r="R239" s="4">
        <v>2234965.0099999998</v>
      </c>
      <c r="S239" s="3">
        <v>181629915.97</v>
      </c>
      <c r="T239" s="4">
        <v>9173517.1500000004</v>
      </c>
      <c r="U239" s="4">
        <v>115689.7</v>
      </c>
      <c r="V239" s="4">
        <v>36494.370000000003</v>
      </c>
      <c r="W239" s="23">
        <v>22879.63</v>
      </c>
      <c r="X239" s="34"/>
      <c r="Y239" s="3">
        <v>317096266.50999999</v>
      </c>
    </row>
    <row r="240" spans="1:25" x14ac:dyDescent="0.3">
      <c r="A240" s="7">
        <v>32082</v>
      </c>
      <c r="B240" s="2">
        <f t="shared" si="3"/>
        <v>10166</v>
      </c>
      <c r="C240" s="3">
        <f>8188166.49-59.33</f>
        <v>8188107.1600000001</v>
      </c>
      <c r="D240" s="3">
        <v>7593537.1699999999</v>
      </c>
      <c r="E240" s="3">
        <v>312778.87</v>
      </c>
      <c r="F240" s="4">
        <v>2117113.04</v>
      </c>
      <c r="G240" s="3">
        <v>32268478.52</v>
      </c>
      <c r="H240" s="4">
        <v>3191690.91</v>
      </c>
      <c r="I240" s="3">
        <v>7270914.3899999997</v>
      </c>
      <c r="J240" s="3">
        <v>1076548.22</v>
      </c>
      <c r="K240" s="4">
        <v>6468287.2800000003</v>
      </c>
      <c r="L240" s="3">
        <v>352450.14</v>
      </c>
      <c r="M240" s="3">
        <v>2000864.56</v>
      </c>
      <c r="N240" s="3">
        <v>174468.9</v>
      </c>
      <c r="O240" s="34">
        <v>5056596.21</v>
      </c>
      <c r="P240" s="34">
        <v>12481216.76</v>
      </c>
      <c r="Q240" s="34" t="s">
        <v>25</v>
      </c>
      <c r="R240" s="4">
        <v>2352424.9300000002</v>
      </c>
      <c r="S240" s="3">
        <v>184995557.13</v>
      </c>
      <c r="T240" s="4">
        <v>7247566.6799999997</v>
      </c>
      <c r="U240" s="4">
        <v>119669.97</v>
      </c>
      <c r="V240" s="4">
        <v>32685.08</v>
      </c>
      <c r="W240" s="23">
        <v>12600</v>
      </c>
      <c r="X240" s="34"/>
      <c r="Y240" s="3">
        <v>283313555.92000002</v>
      </c>
    </row>
    <row r="241" spans="1:25" x14ac:dyDescent="0.3">
      <c r="A241" s="7">
        <v>32112</v>
      </c>
      <c r="B241" s="2">
        <f t="shared" si="3"/>
        <v>10196</v>
      </c>
      <c r="C241" s="3">
        <f>7768786.91+1692.45</f>
        <v>7770479.3600000003</v>
      </c>
      <c r="D241" s="3">
        <v>17591237.43</v>
      </c>
      <c r="E241" s="3">
        <v>6979588.2599999998</v>
      </c>
      <c r="F241" s="4">
        <v>2344305.73</v>
      </c>
      <c r="G241" s="3">
        <v>30713536.850000001</v>
      </c>
      <c r="H241" s="4">
        <v>3006019.74</v>
      </c>
      <c r="I241" s="3">
        <v>8026514.7000000002</v>
      </c>
      <c r="J241" s="3">
        <v>855251.37</v>
      </c>
      <c r="K241" s="4">
        <v>6485313.75</v>
      </c>
      <c r="L241" s="3">
        <v>350823.7</v>
      </c>
      <c r="M241" s="3">
        <v>1717097.9</v>
      </c>
      <c r="N241" s="3">
        <v>222915.47</v>
      </c>
      <c r="O241" s="34">
        <v>4223642.1100000003</v>
      </c>
      <c r="P241" s="34">
        <v>11442241.439999999</v>
      </c>
      <c r="Q241" s="34" t="s">
        <v>25</v>
      </c>
      <c r="R241" s="4">
        <v>2802690.06</v>
      </c>
      <c r="S241" s="3">
        <v>168038374.91999999</v>
      </c>
      <c r="T241" s="4">
        <v>6218522.2300000004</v>
      </c>
      <c r="U241" s="4">
        <f>122081.34-219.04</f>
        <v>121862.3</v>
      </c>
      <c r="V241" s="4">
        <v>34989.61</v>
      </c>
      <c r="W241" s="23">
        <v>6962.5</v>
      </c>
      <c r="X241" s="34"/>
      <c r="Y241" s="3">
        <v>278952369.43000001</v>
      </c>
    </row>
    <row r="242" spans="1:25" x14ac:dyDescent="0.3">
      <c r="A242" s="7">
        <v>32143</v>
      </c>
      <c r="B242" s="2">
        <f t="shared" si="3"/>
        <v>10227</v>
      </c>
      <c r="C242" s="3">
        <f>6987328.48+2793.15</f>
        <v>6990121.6300000008</v>
      </c>
      <c r="D242" s="3">
        <v>49171261.189999998</v>
      </c>
      <c r="E242" s="3">
        <v>6460933.6200000001</v>
      </c>
      <c r="F242" s="4">
        <v>1376731.45</v>
      </c>
      <c r="G242" s="3">
        <v>31870488.829999998</v>
      </c>
      <c r="H242" s="4">
        <v>3076182.71</v>
      </c>
      <c r="I242" s="3">
        <v>5381728.7699999996</v>
      </c>
      <c r="J242" s="3">
        <v>835523.76</v>
      </c>
      <c r="K242" s="4">
        <v>6827109.1500000004</v>
      </c>
      <c r="L242" s="3">
        <v>327939.93</v>
      </c>
      <c r="M242" s="3">
        <v>2040429.86</v>
      </c>
      <c r="N242" s="3">
        <v>222711.07</v>
      </c>
      <c r="O242" s="34">
        <v>5325212.84</v>
      </c>
      <c r="P242" s="34">
        <v>11829049.189999999</v>
      </c>
      <c r="Q242" s="34" t="s">
        <v>25</v>
      </c>
      <c r="R242" s="4">
        <v>3743867.41</v>
      </c>
      <c r="S242" s="3">
        <v>209286395.22999999</v>
      </c>
      <c r="T242" s="4">
        <v>8980212.8599999994</v>
      </c>
      <c r="U242" s="4">
        <v>114624.21</v>
      </c>
      <c r="V242" s="4">
        <v>31233.19</v>
      </c>
      <c r="W242" s="23">
        <v>11375</v>
      </c>
      <c r="X242" s="34"/>
      <c r="Y242" s="3">
        <v>353903131.89999998</v>
      </c>
    </row>
    <row r="243" spans="1:25" x14ac:dyDescent="0.3">
      <c r="A243" s="7">
        <v>32174</v>
      </c>
      <c r="B243" s="2">
        <f t="shared" si="3"/>
        <v>10258</v>
      </c>
      <c r="C243" s="3">
        <f>4934902.75-31.29</f>
        <v>4934871.46</v>
      </c>
      <c r="D243" s="3">
        <v>9802991.2300000004</v>
      </c>
      <c r="E243" s="3">
        <v>1805850.93</v>
      </c>
      <c r="F243" s="4">
        <v>1762460.68</v>
      </c>
      <c r="G243" s="3">
        <v>30295899.719999999</v>
      </c>
      <c r="H243" s="4">
        <v>2644118.59</v>
      </c>
      <c r="I243" s="3">
        <v>5994089.8700000001</v>
      </c>
      <c r="J243" s="3">
        <v>948813.21</v>
      </c>
      <c r="K243" s="4">
        <v>11443664.529999999</v>
      </c>
      <c r="L243" s="3">
        <v>362260.43</v>
      </c>
      <c r="M243" s="3">
        <v>1601577.97</v>
      </c>
      <c r="N243" s="3">
        <v>191850.68</v>
      </c>
      <c r="O243" s="34">
        <v>4199799.95</v>
      </c>
      <c r="P243" s="34">
        <v>12534207.52</v>
      </c>
      <c r="Q243" s="34" t="s">
        <v>25</v>
      </c>
      <c r="R243" s="4">
        <v>1793402.75</v>
      </c>
      <c r="S243" s="3">
        <v>146812051.75</v>
      </c>
      <c r="T243" s="4">
        <v>5899018.4100000001</v>
      </c>
      <c r="U243" s="4">
        <v>94624.51</v>
      </c>
      <c r="V243" s="4">
        <v>27625.72</v>
      </c>
      <c r="W243" s="23">
        <v>13300</v>
      </c>
      <c r="X243" s="34"/>
      <c r="Y243" s="3">
        <v>243162479.91</v>
      </c>
    </row>
    <row r="244" spans="1:25" x14ac:dyDescent="0.3">
      <c r="A244" s="7">
        <v>32203</v>
      </c>
      <c r="B244" s="2">
        <f t="shared" si="3"/>
        <v>10287</v>
      </c>
      <c r="C244" s="3">
        <f>36229340.54-4130.34</f>
        <v>36225210.199999996</v>
      </c>
      <c r="D244" s="3">
        <v>31934631.050000001</v>
      </c>
      <c r="E244" s="3">
        <v>5120222.54</v>
      </c>
      <c r="F244" s="4">
        <v>3013986.41</v>
      </c>
      <c r="G244" s="3">
        <v>26950649.399999999</v>
      </c>
      <c r="H244" s="4">
        <v>2773179.42</v>
      </c>
      <c r="I244" s="3">
        <v>6720338.4299999997</v>
      </c>
      <c r="J244" s="3">
        <v>1143952.1299999999</v>
      </c>
      <c r="K244" s="4">
        <v>21539620.199999999</v>
      </c>
      <c r="L244" s="3">
        <v>451732.47999999998</v>
      </c>
      <c r="M244" s="3">
        <v>1703598.57</v>
      </c>
      <c r="N244" s="3">
        <v>387220.37</v>
      </c>
      <c r="O244" s="34">
        <v>4128825.6</v>
      </c>
      <c r="P244" s="34">
        <v>11284670.619999999</v>
      </c>
      <c r="Q244" s="34" t="s">
        <v>25</v>
      </c>
      <c r="R244" s="4">
        <v>2083167.61</v>
      </c>
      <c r="S244" s="3">
        <v>153082147.46000001</v>
      </c>
      <c r="T244" s="4">
        <v>5981792.3899999997</v>
      </c>
      <c r="U244" s="4">
        <v>113272.49</v>
      </c>
      <c r="V244" s="4">
        <v>30715.200000000001</v>
      </c>
      <c r="W244" s="23">
        <v>8662.5</v>
      </c>
      <c r="X244" s="34"/>
      <c r="Y244" s="3">
        <v>314677595.06999999</v>
      </c>
    </row>
    <row r="245" spans="1:25" x14ac:dyDescent="0.3">
      <c r="A245" s="7">
        <v>32234</v>
      </c>
      <c r="B245" s="2">
        <f t="shared" si="3"/>
        <v>10318</v>
      </c>
      <c r="C245" s="3">
        <f>48727584.07+881.99</f>
        <v>48728466.060000002</v>
      </c>
      <c r="D245" s="3">
        <v>91051045.510000005</v>
      </c>
      <c r="E245" s="3">
        <v>52911926.990000002</v>
      </c>
      <c r="F245" s="4">
        <v>7331310.46</v>
      </c>
      <c r="G245" s="3">
        <v>32026929.16</v>
      </c>
      <c r="H245" s="4">
        <v>3042416.89</v>
      </c>
      <c r="I245" s="3">
        <v>6744290.4699999997</v>
      </c>
      <c r="J245" s="3">
        <v>1077384.26</v>
      </c>
      <c r="K245" s="4">
        <v>26944038.48</v>
      </c>
      <c r="L245" s="3">
        <v>453425.83</v>
      </c>
      <c r="M245" s="3">
        <v>1807379</v>
      </c>
      <c r="N245" s="3">
        <v>294182.34000000003</v>
      </c>
      <c r="O245" s="34">
        <v>5260956.47</v>
      </c>
      <c r="P245" s="34">
        <v>11686442.42</v>
      </c>
      <c r="Q245" s="34" t="s">
        <v>25</v>
      </c>
      <c r="R245" s="4">
        <v>2494866.59</v>
      </c>
      <c r="S245" s="3">
        <v>180340572.53999999</v>
      </c>
      <c r="T245" s="4">
        <v>8069291.7699999996</v>
      </c>
      <c r="U245" s="4">
        <v>103570.74</v>
      </c>
      <c r="V245" s="4">
        <v>28890.13</v>
      </c>
      <c r="W245" s="23">
        <v>4987.5</v>
      </c>
      <c r="X245" s="34"/>
      <c r="Y245" s="3">
        <v>480402373.61000001</v>
      </c>
    </row>
    <row r="246" spans="1:25" x14ac:dyDescent="0.3">
      <c r="A246" s="7">
        <v>32264</v>
      </c>
      <c r="B246" s="2">
        <f t="shared" si="3"/>
        <v>10348</v>
      </c>
      <c r="C246" s="3">
        <f>8231872.64+234.27</f>
        <v>8232106.9099999992</v>
      </c>
      <c r="D246" s="3">
        <v>16370358.039999999</v>
      </c>
      <c r="E246" s="3">
        <v>653084.34</v>
      </c>
      <c r="F246" s="4">
        <v>2639802.44</v>
      </c>
      <c r="G246" s="3">
        <v>33442836.16</v>
      </c>
      <c r="H246" s="4">
        <v>3038700.35</v>
      </c>
      <c r="I246" s="3">
        <v>7014175.5700000003</v>
      </c>
      <c r="J246" s="3">
        <v>1147182.43</v>
      </c>
      <c r="K246" s="4">
        <v>18745213.199999999</v>
      </c>
      <c r="L246" s="3">
        <v>443585.02</v>
      </c>
      <c r="M246" s="3">
        <v>1876879.13</v>
      </c>
      <c r="N246" s="3">
        <v>209064.89</v>
      </c>
      <c r="O246" s="34">
        <v>5145093.42</v>
      </c>
      <c r="P246" s="34">
        <v>12188966.59</v>
      </c>
      <c r="Q246" s="34" t="s">
        <v>25</v>
      </c>
      <c r="R246" s="4">
        <v>2403228.94</v>
      </c>
      <c r="S246" s="3">
        <v>180342199.90000001</v>
      </c>
      <c r="T246" s="4">
        <v>7080972.5899999999</v>
      </c>
      <c r="U246" s="4">
        <v>110888.72</v>
      </c>
      <c r="V246" s="4">
        <v>43617.87</v>
      </c>
      <c r="W246" s="23">
        <v>3412.5</v>
      </c>
      <c r="X246" s="34"/>
      <c r="Y246" s="3">
        <v>301131369.00999999</v>
      </c>
    </row>
    <row r="247" spans="1:25" x14ac:dyDescent="0.3">
      <c r="A247" s="7">
        <v>32295</v>
      </c>
      <c r="B247" s="2">
        <f t="shared" si="3"/>
        <v>10379</v>
      </c>
      <c r="C247" s="3">
        <f>5801074.39+101.26</f>
        <v>5801175.6499999994</v>
      </c>
      <c r="D247" s="3">
        <v>14864113.220000001</v>
      </c>
      <c r="E247" s="3">
        <v>739908.55</v>
      </c>
      <c r="F247" s="4">
        <v>1208060.94</v>
      </c>
      <c r="G247" s="3">
        <v>31192079.43</v>
      </c>
      <c r="H247" s="4">
        <v>2994881.77</v>
      </c>
      <c r="I247" s="3">
        <v>8127458.5599999996</v>
      </c>
      <c r="J247" s="3">
        <v>1249799.67</v>
      </c>
      <c r="K247" s="4">
        <v>10550184.869999999</v>
      </c>
      <c r="L247" s="3">
        <v>449836.08</v>
      </c>
      <c r="M247" s="3">
        <v>1813272.71</v>
      </c>
      <c r="N247" s="3">
        <v>7082750.7699999996</v>
      </c>
      <c r="O247" s="34">
        <v>5340097.25</v>
      </c>
      <c r="P247" s="34">
        <v>11290069.76</v>
      </c>
      <c r="Q247" s="34" t="s">
        <v>25</v>
      </c>
      <c r="R247" s="4">
        <v>2390012.4900000002</v>
      </c>
      <c r="S247" s="3">
        <v>185436581.41999999</v>
      </c>
      <c r="T247" s="4">
        <v>6837822.4699999997</v>
      </c>
      <c r="U247" s="4">
        <v>113157.03</v>
      </c>
      <c r="V247" s="4">
        <v>28717.27</v>
      </c>
      <c r="W247" s="23">
        <v>262.5</v>
      </c>
      <c r="X247" s="34"/>
      <c r="Y247" s="3">
        <v>297510242.41000003</v>
      </c>
    </row>
    <row r="248" spans="1:25" x14ac:dyDescent="0.3">
      <c r="A248" s="7">
        <v>32325</v>
      </c>
      <c r="B248" s="2">
        <f t="shared" si="3"/>
        <v>10409</v>
      </c>
      <c r="C248" s="3">
        <f>5290873.78+261.52</f>
        <v>5291135.3</v>
      </c>
      <c r="D248" s="3">
        <v>52321498.57</v>
      </c>
      <c r="E248" s="3">
        <v>762086.63</v>
      </c>
      <c r="F248" s="4">
        <v>10091787.59</v>
      </c>
      <c r="G248" s="3">
        <v>31303010.559999999</v>
      </c>
      <c r="H248" s="4">
        <v>3008398.7</v>
      </c>
      <c r="I248" s="3">
        <v>6231262.7999999998</v>
      </c>
      <c r="J248" s="3">
        <v>1174502.08</v>
      </c>
      <c r="K248" s="4">
        <v>8563249.8000000007</v>
      </c>
      <c r="L248" s="3">
        <v>387717.61</v>
      </c>
      <c r="M248" s="3">
        <v>1746824.9</v>
      </c>
      <c r="N248" s="3">
        <v>539871.81999999995</v>
      </c>
      <c r="O248" s="34">
        <v>6243143.5599999996</v>
      </c>
      <c r="P248" s="34">
        <v>13877453.609999999</v>
      </c>
      <c r="Q248" s="34" t="s">
        <v>25</v>
      </c>
      <c r="R248" s="4">
        <v>2253106.13</v>
      </c>
      <c r="S248" s="3">
        <v>197506045.75</v>
      </c>
      <c r="T248" s="4">
        <v>9072139.2400000002</v>
      </c>
      <c r="U248" s="4">
        <v>109675.88</v>
      </c>
      <c r="V248" s="4">
        <v>28040.61</v>
      </c>
      <c r="W248" s="23">
        <v>1168203.8999999999</v>
      </c>
      <c r="X248" s="34"/>
      <c r="Y248" s="3">
        <v>351679155.04000002</v>
      </c>
    </row>
    <row r="249" spans="1:25" x14ac:dyDescent="0.3">
      <c r="A249" s="7">
        <v>32356</v>
      </c>
      <c r="B249" s="2">
        <f t="shared" si="3"/>
        <v>10440</v>
      </c>
      <c r="C249" s="3">
        <f>5149455.83+198.18</f>
        <v>5149654.01</v>
      </c>
      <c r="D249" s="3">
        <v>12581833.550000001</v>
      </c>
      <c r="E249" s="3">
        <v>1810788.42</v>
      </c>
      <c r="F249" s="4">
        <v>6259317.0099999998</v>
      </c>
      <c r="G249" s="3">
        <v>37101849.710000001</v>
      </c>
      <c r="H249" s="4">
        <v>3154615.41</v>
      </c>
      <c r="I249" s="3">
        <v>6928577.7400000002</v>
      </c>
      <c r="J249" s="3">
        <v>1114294.92</v>
      </c>
      <c r="K249" s="4">
        <v>7827331.96</v>
      </c>
      <c r="L249" s="3">
        <v>460691.22</v>
      </c>
      <c r="M249" s="3">
        <v>1878400.33</v>
      </c>
      <c r="N249" s="3">
        <v>247354.12</v>
      </c>
      <c r="O249" s="34">
        <v>6160987.2999999998</v>
      </c>
      <c r="P249" s="34">
        <v>34102869.600000001</v>
      </c>
      <c r="Q249" s="34" t="s">
        <v>25</v>
      </c>
      <c r="R249" s="4">
        <v>1943286.89</v>
      </c>
      <c r="S249" s="3">
        <v>184074194.18000001</v>
      </c>
      <c r="T249" s="4">
        <v>6538366.6200000001</v>
      </c>
      <c r="U249" s="4">
        <f>80812.55-2029.24</f>
        <v>78783.31</v>
      </c>
      <c r="V249" s="4">
        <v>24981.85</v>
      </c>
      <c r="W249" s="23">
        <v>75292.87</v>
      </c>
      <c r="X249" s="34"/>
      <c r="Y249" s="3">
        <v>317513471.01999998</v>
      </c>
    </row>
    <row r="250" spans="1:25" x14ac:dyDescent="0.3">
      <c r="A250" s="7">
        <v>32387</v>
      </c>
      <c r="B250" s="2">
        <f t="shared" si="3"/>
        <v>10471</v>
      </c>
      <c r="C250" s="3">
        <f>13186208.76+9.47</f>
        <v>13186218.23</v>
      </c>
      <c r="D250" s="3">
        <v>7331821.0300000003</v>
      </c>
      <c r="E250" s="3">
        <v>468211.93</v>
      </c>
      <c r="F250" s="4">
        <v>3566217.32</v>
      </c>
      <c r="G250" s="3">
        <v>34309804.659999996</v>
      </c>
      <c r="H250" s="4">
        <v>3182847.41</v>
      </c>
      <c r="I250" s="3">
        <v>7391951.0300000003</v>
      </c>
      <c r="J250" s="3">
        <v>1109739.6399999999</v>
      </c>
      <c r="K250" s="4">
        <v>7728186.6600000001</v>
      </c>
      <c r="L250" s="3">
        <v>407038.44</v>
      </c>
      <c r="M250" s="3">
        <v>1790237.33</v>
      </c>
      <c r="N250" s="3">
        <v>355985.38</v>
      </c>
      <c r="O250" s="34">
        <v>6318629.4100000001</v>
      </c>
      <c r="P250" s="34">
        <v>26537873.719999999</v>
      </c>
      <c r="Q250" s="34" t="s">
        <v>25</v>
      </c>
      <c r="R250" s="4">
        <v>2428618.52</v>
      </c>
      <c r="S250" s="3">
        <v>188987853</v>
      </c>
      <c r="T250" s="4">
        <v>6791269.6100000003</v>
      </c>
      <c r="U250" s="4">
        <v>108849.94</v>
      </c>
      <c r="V250" s="4">
        <v>27613.09</v>
      </c>
      <c r="W250" s="23">
        <v>105476.95</v>
      </c>
      <c r="X250" s="34"/>
      <c r="Y250" s="3">
        <v>312134443.30000001</v>
      </c>
    </row>
    <row r="251" spans="1:25" x14ac:dyDescent="0.3">
      <c r="A251" s="7">
        <v>32417</v>
      </c>
      <c r="B251" s="2">
        <f t="shared" si="3"/>
        <v>10501</v>
      </c>
      <c r="C251" s="3">
        <f>15837488.94+2211.73</f>
        <v>15839700.67</v>
      </c>
      <c r="D251" s="3">
        <v>48502425.200000003</v>
      </c>
      <c r="E251" s="3">
        <v>1753523.44</v>
      </c>
      <c r="F251" s="4">
        <v>1681134.17</v>
      </c>
      <c r="G251" s="3">
        <v>31617266.210000001</v>
      </c>
      <c r="H251" s="4">
        <v>2811020.35</v>
      </c>
      <c r="I251" s="3">
        <v>6509310.4299999997</v>
      </c>
      <c r="J251" s="3">
        <v>1026250.72</v>
      </c>
      <c r="K251" s="4">
        <v>7427699.5800000001</v>
      </c>
      <c r="L251" s="3">
        <v>385094.34</v>
      </c>
      <c r="M251" s="3">
        <v>1932241.6</v>
      </c>
      <c r="N251" s="3">
        <v>298401.56</v>
      </c>
      <c r="O251" s="34">
        <v>6015993.8399999999</v>
      </c>
      <c r="P251" s="34">
        <v>13573055.32</v>
      </c>
      <c r="Q251" s="34" t="s">
        <v>25</v>
      </c>
      <c r="R251" s="4">
        <v>2222891.08</v>
      </c>
      <c r="S251" s="3">
        <v>191348963.56</v>
      </c>
      <c r="T251" s="4">
        <v>8819754.4800000004</v>
      </c>
      <c r="U251" s="4">
        <v>97372.74</v>
      </c>
      <c r="V251" s="4">
        <v>25069.17</v>
      </c>
      <c r="W251" s="23">
        <v>101546.01</v>
      </c>
      <c r="X251" s="34"/>
      <c r="Y251" s="3">
        <v>341988714.47000003</v>
      </c>
    </row>
    <row r="252" spans="1:25" x14ac:dyDescent="0.3">
      <c r="A252" s="7">
        <v>32448</v>
      </c>
      <c r="B252" s="2">
        <f t="shared" si="3"/>
        <v>10532</v>
      </c>
      <c r="C252" s="3">
        <f>5691101.46+12.11</f>
        <v>5691113.5700000003</v>
      </c>
      <c r="D252" s="3">
        <v>11363567.699999999</v>
      </c>
      <c r="E252" s="3">
        <v>299861.07</v>
      </c>
      <c r="F252" s="4">
        <v>3138268.73</v>
      </c>
      <c r="G252" s="3">
        <v>30628728.219999999</v>
      </c>
      <c r="H252" s="4">
        <v>3094615.28</v>
      </c>
      <c r="I252" s="3">
        <v>6772906.6200000001</v>
      </c>
      <c r="J252" s="3">
        <v>1056168.33</v>
      </c>
      <c r="K252" s="4">
        <v>6768777.7000000002</v>
      </c>
      <c r="L252" s="3">
        <v>367815.82</v>
      </c>
      <c r="M252" s="3">
        <v>1931791.33</v>
      </c>
      <c r="N252" s="3">
        <v>210309.37</v>
      </c>
      <c r="O252" s="34">
        <v>6302370.7000000002</v>
      </c>
      <c r="P252" s="34">
        <v>12652612.41</v>
      </c>
      <c r="Q252" s="34" t="s">
        <v>25</v>
      </c>
      <c r="R252" s="4">
        <v>2252686.41</v>
      </c>
      <c r="S252" s="3">
        <v>181850129.41</v>
      </c>
      <c r="T252" s="4">
        <v>6688042.7599999998</v>
      </c>
      <c r="U252" s="4">
        <v>99593.96</v>
      </c>
      <c r="V252" s="4">
        <v>21138.07</v>
      </c>
      <c r="W252" s="23">
        <v>101176.26</v>
      </c>
      <c r="X252" s="34"/>
      <c r="Y252" s="3">
        <v>281291673.72000003</v>
      </c>
    </row>
    <row r="253" spans="1:25" x14ac:dyDescent="0.3">
      <c r="A253" s="7">
        <v>32478</v>
      </c>
      <c r="B253" s="2">
        <f t="shared" si="3"/>
        <v>10562</v>
      </c>
      <c r="C253" s="3">
        <f>10129463.53-505.53</f>
        <v>10128958</v>
      </c>
      <c r="D253" s="3">
        <v>18004758.829999998</v>
      </c>
      <c r="E253" s="3">
        <v>3308308.26</v>
      </c>
      <c r="F253" s="4">
        <v>1296184.02</v>
      </c>
      <c r="G253" s="3">
        <v>31691218.09</v>
      </c>
      <c r="H253" s="4">
        <v>3050836.04</v>
      </c>
      <c r="I253" s="3">
        <v>7344021.5199999996</v>
      </c>
      <c r="J253" s="3">
        <v>972231.32</v>
      </c>
      <c r="K253" s="4">
        <v>6906166.3499999996</v>
      </c>
      <c r="L253" s="3">
        <v>339602.75</v>
      </c>
      <c r="M253" s="3">
        <v>1779927.15</v>
      </c>
      <c r="N253" s="3">
        <v>329542.67</v>
      </c>
      <c r="O253" s="34">
        <v>5389288.5499999998</v>
      </c>
      <c r="P253" s="34">
        <v>12260210.449999999</v>
      </c>
      <c r="Q253" s="34" t="s">
        <v>25</v>
      </c>
      <c r="R253" s="4">
        <v>2874277.68</v>
      </c>
      <c r="S253" s="3">
        <v>181491157</v>
      </c>
      <c r="T253" s="4">
        <v>6503661.9900000002</v>
      </c>
      <c r="U253" s="4">
        <v>117256.18</v>
      </c>
      <c r="V253" s="4">
        <v>24903.49</v>
      </c>
      <c r="W253" s="23">
        <v>59282.6</v>
      </c>
      <c r="X253" s="34"/>
      <c r="Y253" s="3">
        <v>293871792.94</v>
      </c>
    </row>
    <row r="254" spans="1:25" x14ac:dyDescent="0.3">
      <c r="A254" s="7">
        <v>32509</v>
      </c>
      <c r="B254" s="2">
        <f t="shared" si="3"/>
        <v>10593</v>
      </c>
      <c r="C254" s="3">
        <f>6790883.87-2116</f>
        <v>6788767.8700000001</v>
      </c>
      <c r="D254" s="3">
        <v>57657789.590000004</v>
      </c>
      <c r="E254" s="3">
        <v>11510557.26</v>
      </c>
      <c r="F254" s="4">
        <v>1853539.91</v>
      </c>
      <c r="G254" s="3">
        <v>32992377.16</v>
      </c>
      <c r="H254" s="4">
        <v>3169700.19</v>
      </c>
      <c r="I254" s="3">
        <v>5866490.2300000004</v>
      </c>
      <c r="J254" s="3">
        <v>798690.37</v>
      </c>
      <c r="K254" s="4">
        <v>7115797.29</v>
      </c>
      <c r="L254" s="3">
        <v>391092.1</v>
      </c>
      <c r="M254" s="3">
        <v>2100503.64</v>
      </c>
      <c r="N254" s="3">
        <v>245136.13</v>
      </c>
      <c r="O254" s="34">
        <v>6465333.3099999996</v>
      </c>
      <c r="P254" s="34">
        <v>12395043.83</v>
      </c>
      <c r="Q254" s="34" t="s">
        <v>25</v>
      </c>
      <c r="R254" s="4">
        <v>3403202.18</v>
      </c>
      <c r="S254" s="3">
        <v>221799526.33000001</v>
      </c>
      <c r="T254" s="4">
        <v>9263537.4900000002</v>
      </c>
      <c r="U254" s="4">
        <v>102930.45</v>
      </c>
      <c r="V254" s="4">
        <v>24526.82</v>
      </c>
      <c r="W254" s="23">
        <v>30889.45</v>
      </c>
      <c r="X254" s="34"/>
      <c r="Y254" s="3">
        <v>383975431.60000002</v>
      </c>
    </row>
    <row r="255" spans="1:25" x14ac:dyDescent="0.3">
      <c r="A255" s="7">
        <v>32540</v>
      </c>
      <c r="B255" s="2">
        <f t="shared" si="3"/>
        <v>10624</v>
      </c>
      <c r="C255" s="3">
        <f>6135002.64+23.74</f>
        <v>6135026.3799999999</v>
      </c>
      <c r="D255" s="3">
        <v>7908108.7000000002</v>
      </c>
      <c r="E255" s="3">
        <v>1324801.6399999999</v>
      </c>
      <c r="F255" s="4">
        <v>1469393.46</v>
      </c>
      <c r="G255" s="10">
        <v>32579204.460000001</v>
      </c>
      <c r="H255" s="4">
        <v>2713500.73</v>
      </c>
      <c r="I255" s="3">
        <v>5772366.0599999996</v>
      </c>
      <c r="J255" s="3">
        <v>925626.96</v>
      </c>
      <c r="K255" s="4">
        <v>11188171.880000001</v>
      </c>
      <c r="L255" s="3">
        <v>344854.17</v>
      </c>
      <c r="M255" s="3">
        <v>1674675.9</v>
      </c>
      <c r="N255" s="3">
        <v>330922.57</v>
      </c>
      <c r="O255" s="34">
        <v>5286930.42</v>
      </c>
      <c r="P255" s="34">
        <v>13059937.140000001</v>
      </c>
      <c r="Q255" s="34" t="s">
        <v>25</v>
      </c>
      <c r="R255" s="4">
        <v>1874827.94</v>
      </c>
      <c r="S255" s="3">
        <v>157239435.75999999</v>
      </c>
      <c r="T255" s="4">
        <v>5184040.3499999996</v>
      </c>
      <c r="U255" s="4">
        <v>113689.87</v>
      </c>
      <c r="V255" s="4">
        <v>28772.799999999999</v>
      </c>
      <c r="W255" s="23">
        <v>4375</v>
      </c>
      <c r="X255" s="34"/>
      <c r="Y255" s="3">
        <v>255158662.19</v>
      </c>
    </row>
    <row r="256" spans="1:25" x14ac:dyDescent="0.3">
      <c r="A256" s="7">
        <v>32568</v>
      </c>
      <c r="B256" s="2">
        <f t="shared" si="3"/>
        <v>10652</v>
      </c>
      <c r="C256" s="3">
        <f>37357542.18-190.88</f>
        <v>37357351.299999997</v>
      </c>
      <c r="D256" s="3">
        <v>30653660.940000001</v>
      </c>
      <c r="E256" s="3">
        <v>4630083.62</v>
      </c>
      <c r="F256" s="4">
        <v>1699133.31</v>
      </c>
      <c r="G256" s="3">
        <v>31476951.329999998</v>
      </c>
      <c r="H256" s="4">
        <v>2651496.66</v>
      </c>
      <c r="I256" s="3">
        <v>6604503.21</v>
      </c>
      <c r="J256" s="3">
        <v>1023503.65</v>
      </c>
      <c r="K256" s="4">
        <v>22690867.100000001</v>
      </c>
      <c r="L256" s="3">
        <v>439549.4</v>
      </c>
      <c r="M256" s="3">
        <v>1695398.42</v>
      </c>
      <c r="N256" s="3">
        <v>432525.27</v>
      </c>
      <c r="O256" s="34">
        <v>4927247.8099999996</v>
      </c>
      <c r="P256" s="34">
        <v>12108074.630000001</v>
      </c>
      <c r="Q256" s="34" t="s">
        <v>25</v>
      </c>
      <c r="R256" s="4">
        <v>1990274.22</v>
      </c>
      <c r="S256" s="3">
        <v>153277094.94</v>
      </c>
      <c r="T256" s="4">
        <v>7137599.9500000002</v>
      </c>
      <c r="U256" s="4">
        <f>104198.26</f>
        <v>104198.26</v>
      </c>
      <c r="V256" s="4">
        <v>28368.45</v>
      </c>
      <c r="W256" s="23">
        <v>23046.42</v>
      </c>
      <c r="X256" s="34"/>
      <c r="Y256" s="3">
        <v>320950928.88999999</v>
      </c>
    </row>
    <row r="257" spans="1:25" x14ac:dyDescent="0.3">
      <c r="A257" s="7">
        <v>32599</v>
      </c>
      <c r="B257" s="2">
        <f t="shared" si="3"/>
        <v>10683</v>
      </c>
      <c r="C257" s="3">
        <f>54842459.84+157.03</f>
        <v>54842616.870000005</v>
      </c>
      <c r="D257" s="3">
        <v>96739509.700000003</v>
      </c>
      <c r="E257" s="3">
        <v>68112956.209999993</v>
      </c>
      <c r="F257" s="4">
        <v>7668756.4299999997</v>
      </c>
      <c r="G257" s="3">
        <v>32290772.73</v>
      </c>
      <c r="H257" s="4">
        <v>3055878.59</v>
      </c>
      <c r="I257" s="3">
        <v>6489231.5</v>
      </c>
      <c r="J257" s="3">
        <v>1154354.67</v>
      </c>
      <c r="K257" s="4">
        <v>27071578.27</v>
      </c>
      <c r="L257" s="3">
        <v>466163.96</v>
      </c>
      <c r="M257" s="3">
        <v>1845526.74</v>
      </c>
      <c r="N257" s="3">
        <v>287728.37</v>
      </c>
      <c r="O257" s="34">
        <v>5929110.0499999998</v>
      </c>
      <c r="P257" s="34">
        <v>12239942.25</v>
      </c>
      <c r="Q257" s="34" t="s">
        <v>25</v>
      </c>
      <c r="R257" s="4">
        <v>2421545.0299999998</v>
      </c>
      <c r="S257" s="3">
        <v>190726202.09</v>
      </c>
      <c r="T257" s="4">
        <v>9138325.4600000009</v>
      </c>
      <c r="U257" s="4">
        <v>112561.8</v>
      </c>
      <c r="V257" s="4">
        <v>33820.22</v>
      </c>
      <c r="W257" s="23">
        <v>12775</v>
      </c>
      <c r="X257" s="34"/>
      <c r="Y257" s="3">
        <v>520639355.94</v>
      </c>
    </row>
    <row r="258" spans="1:25" x14ac:dyDescent="0.3">
      <c r="A258" s="7">
        <v>32629</v>
      </c>
      <c r="B258" s="2">
        <f t="shared" ref="B258:B321" si="4">A258-21916</f>
        <v>10713</v>
      </c>
      <c r="C258" s="3">
        <f>7642105.07+40.47</f>
        <v>7642145.54</v>
      </c>
      <c r="D258" s="3">
        <v>13829716.15</v>
      </c>
      <c r="E258" s="3">
        <v>933336.6</v>
      </c>
      <c r="F258" s="4">
        <v>3397740.11</v>
      </c>
      <c r="G258" s="3">
        <v>40608577.240000002</v>
      </c>
      <c r="H258" s="4">
        <v>2730107.09</v>
      </c>
      <c r="I258" s="3">
        <v>7114516.3700000001</v>
      </c>
      <c r="J258" s="3">
        <v>1115310.45</v>
      </c>
      <c r="K258" s="4">
        <v>19777478.239999998</v>
      </c>
      <c r="L258" s="3">
        <v>454169.58</v>
      </c>
      <c r="M258" s="3">
        <v>1906873.53</v>
      </c>
      <c r="N258" s="3">
        <v>195633.4</v>
      </c>
      <c r="O258" s="34">
        <v>5852403.1799999997</v>
      </c>
      <c r="P258" s="34">
        <v>13288333.449999999</v>
      </c>
      <c r="Q258" s="34" t="s">
        <v>25</v>
      </c>
      <c r="R258" s="4">
        <v>2214184.2999999998</v>
      </c>
      <c r="S258" s="3">
        <v>185245134.91</v>
      </c>
      <c r="T258" s="4">
        <v>7801571.7800000003</v>
      </c>
      <c r="U258" s="4">
        <v>99262.44</v>
      </c>
      <c r="V258" s="4">
        <v>30750.86</v>
      </c>
      <c r="W258" s="23">
        <v>3865.7</v>
      </c>
      <c r="X258" s="34"/>
      <c r="Y258" s="3">
        <v>314241110.92000002</v>
      </c>
    </row>
    <row r="259" spans="1:25" x14ac:dyDescent="0.3">
      <c r="A259" s="7">
        <v>32660</v>
      </c>
      <c r="B259" s="2">
        <f t="shared" si="4"/>
        <v>10744</v>
      </c>
      <c r="C259" s="3">
        <f>5573700.89+170</f>
        <v>5573870.8899999997</v>
      </c>
      <c r="D259" s="3">
        <v>14650659.859999999</v>
      </c>
      <c r="E259" s="3">
        <v>548224.4</v>
      </c>
      <c r="F259" s="4">
        <v>1491462.86</v>
      </c>
      <c r="G259" s="3">
        <v>41533851.75</v>
      </c>
      <c r="H259" s="4">
        <v>3271130.11</v>
      </c>
      <c r="I259" s="3">
        <v>7810237.2300000004</v>
      </c>
      <c r="J259" s="3">
        <v>1247029.49</v>
      </c>
      <c r="K259" s="4">
        <v>11351423.98</v>
      </c>
      <c r="L259" s="3">
        <v>465152.1</v>
      </c>
      <c r="M259" s="3">
        <v>1878239.14</v>
      </c>
      <c r="N259" s="3">
        <v>7949296.4100000001</v>
      </c>
      <c r="O259" s="34">
        <v>6530991.4699999997</v>
      </c>
      <c r="P259" s="34">
        <v>12437304.09</v>
      </c>
      <c r="Q259" s="34" t="s">
        <v>25</v>
      </c>
      <c r="R259" s="4">
        <v>2419400.4500000002</v>
      </c>
      <c r="S259" s="3">
        <v>195337496.91</v>
      </c>
      <c r="T259" s="4">
        <v>7874598.3499999996</v>
      </c>
      <c r="U259" s="4">
        <v>116360.07</v>
      </c>
      <c r="V259" s="4">
        <v>29339.49</v>
      </c>
      <c r="W259" s="23">
        <v>1067.5</v>
      </c>
      <c r="X259" s="34"/>
      <c r="Y259" s="3">
        <v>322517136.55000001</v>
      </c>
    </row>
    <row r="260" spans="1:25" x14ac:dyDescent="0.3">
      <c r="A260" s="7">
        <v>32690</v>
      </c>
      <c r="B260" s="2">
        <f t="shared" si="4"/>
        <v>10774</v>
      </c>
      <c r="C260" s="3">
        <f>6399584.53+19.08</f>
        <v>6399603.6100000003</v>
      </c>
      <c r="D260" s="3">
        <v>54657228.450000003</v>
      </c>
      <c r="E260" s="3">
        <v>426723.75</v>
      </c>
      <c r="F260" s="4">
        <v>2814554.52</v>
      </c>
      <c r="G260" s="3">
        <v>39181522.939999998</v>
      </c>
      <c r="H260" s="4">
        <v>2872232.55</v>
      </c>
      <c r="I260" s="3">
        <v>6325439.6100000003</v>
      </c>
      <c r="J260" s="3">
        <v>1130696.19</v>
      </c>
      <c r="K260" s="4">
        <v>8707985.5700000003</v>
      </c>
      <c r="L260" s="3">
        <v>443217.26</v>
      </c>
      <c r="M260" s="3">
        <v>1892884.25</v>
      </c>
      <c r="N260" s="3">
        <v>517546.4</v>
      </c>
      <c r="O260" s="34">
        <v>6502519.3499999996</v>
      </c>
      <c r="P260" s="34">
        <v>14298702.539999999</v>
      </c>
      <c r="Q260" s="34" t="s">
        <v>25</v>
      </c>
      <c r="R260" s="4">
        <v>2298046.41</v>
      </c>
      <c r="S260" s="3">
        <v>199419620.47999999</v>
      </c>
      <c r="T260" s="4">
        <v>7377372.96</v>
      </c>
      <c r="U260" s="4">
        <v>98950.87</v>
      </c>
      <c r="V260" s="4">
        <v>25928.67</v>
      </c>
      <c r="W260" s="23">
        <v>869786.99</v>
      </c>
      <c r="X260" s="34"/>
      <c r="Y260" s="3">
        <v>356260563.37</v>
      </c>
    </row>
    <row r="261" spans="1:25" x14ac:dyDescent="0.3">
      <c r="A261" s="7">
        <v>32721</v>
      </c>
      <c r="B261" s="2">
        <f t="shared" si="4"/>
        <v>10805</v>
      </c>
      <c r="C261" s="3">
        <f>7919641.5+244.38</f>
        <v>7919885.8799999999</v>
      </c>
      <c r="D261" s="3">
        <v>12387385.460000001</v>
      </c>
      <c r="E261" s="3">
        <v>1517398.18</v>
      </c>
      <c r="F261" s="4">
        <v>2022725.86</v>
      </c>
      <c r="G261" s="3">
        <v>46288949.159999996</v>
      </c>
      <c r="H261" s="4">
        <v>2800302.4</v>
      </c>
      <c r="I261" s="3">
        <v>6656066.6600000001</v>
      </c>
      <c r="J261" s="3">
        <v>1089970.3500000001</v>
      </c>
      <c r="K261" s="4">
        <v>7774044.3700000001</v>
      </c>
      <c r="L261" s="3">
        <v>469015.14</v>
      </c>
      <c r="M261" s="3">
        <v>1822989.99</v>
      </c>
      <c r="N261" s="3">
        <v>354008.81</v>
      </c>
      <c r="O261" s="34">
        <v>5940683.4699999997</v>
      </c>
      <c r="P261" s="34">
        <v>21870954.690000001</v>
      </c>
      <c r="Q261" s="34" t="s">
        <v>25</v>
      </c>
      <c r="R261" s="4">
        <v>1934669.92</v>
      </c>
      <c r="S261" s="3">
        <v>193095410.15000001</v>
      </c>
      <c r="T261" s="4">
        <v>7056422.7999999998</v>
      </c>
      <c r="U261" s="4">
        <v>94407.43</v>
      </c>
      <c r="V261" s="4">
        <v>27485.24</v>
      </c>
      <c r="W261" s="23">
        <v>58702.94</v>
      </c>
      <c r="X261" s="34"/>
      <c r="Y261" s="3">
        <v>321181478.89999998</v>
      </c>
    </row>
    <row r="262" spans="1:25" x14ac:dyDescent="0.3">
      <c r="A262" s="7">
        <v>32752</v>
      </c>
      <c r="B262" s="2">
        <f t="shared" si="4"/>
        <v>10836</v>
      </c>
      <c r="C262" s="3">
        <f>13702921+22.95</f>
        <v>13702943.949999999</v>
      </c>
      <c r="D262" s="3">
        <v>18585969.719999999</v>
      </c>
      <c r="E262" s="3">
        <v>464387.58</v>
      </c>
      <c r="F262" s="4">
        <v>2242225.2799999998</v>
      </c>
      <c r="G262" s="3">
        <v>42633562.890000001</v>
      </c>
      <c r="H262" s="4">
        <v>3208221.92</v>
      </c>
      <c r="I262" s="3">
        <v>6369407.7199999997</v>
      </c>
      <c r="J262" s="3">
        <v>1161134.72</v>
      </c>
      <c r="K262" s="4">
        <v>7884179.1799999997</v>
      </c>
      <c r="L262" s="3">
        <v>444233.5</v>
      </c>
      <c r="M262" s="3">
        <v>1798621.28</v>
      </c>
      <c r="N262" s="3">
        <v>301042.59999999998</v>
      </c>
      <c r="O262" s="34">
        <v>7391654.5</v>
      </c>
      <c r="P262" s="34">
        <v>11263891.470000001</v>
      </c>
      <c r="Q262" s="34" t="s">
        <v>25</v>
      </c>
      <c r="R262" s="4">
        <v>2306443.8199999998</v>
      </c>
      <c r="S262" s="3">
        <v>202400658.97999999</v>
      </c>
      <c r="T262" s="4">
        <v>8010513.7800000003</v>
      </c>
      <c r="U262" s="4">
        <v>116085.25</v>
      </c>
      <c r="V262" s="4">
        <v>25119.9</v>
      </c>
      <c r="W262" s="23">
        <v>49506.53</v>
      </c>
      <c r="X262" s="34"/>
      <c r="Y262" s="3">
        <v>330359804.56999999</v>
      </c>
    </row>
    <row r="263" spans="1:25" x14ac:dyDescent="0.3">
      <c r="A263" s="7">
        <v>32782</v>
      </c>
      <c r="B263" s="2">
        <f t="shared" si="4"/>
        <v>10866</v>
      </c>
      <c r="C263" s="3">
        <f>17019542.66+34.94</f>
        <v>17019577.600000001</v>
      </c>
      <c r="D263" s="3">
        <v>37691532.109999999</v>
      </c>
      <c r="E263" s="3">
        <v>1642864.68</v>
      </c>
      <c r="F263" s="4">
        <v>1840268.52</v>
      </c>
      <c r="G263" s="3">
        <v>40776331.850000001</v>
      </c>
      <c r="H263" s="4">
        <v>3147740.61</v>
      </c>
      <c r="I263" s="3">
        <v>6624430.9299999997</v>
      </c>
      <c r="J263" s="3">
        <v>1104967.6799999999</v>
      </c>
      <c r="K263" s="4">
        <v>7167961.0099999998</v>
      </c>
      <c r="L263" s="3">
        <v>482234.34</v>
      </c>
      <c r="M263" s="3">
        <v>1932217.11</v>
      </c>
      <c r="N263" s="3">
        <v>401629.75</v>
      </c>
      <c r="O263" s="34">
        <v>6622046.8600000003</v>
      </c>
      <c r="P263" s="34">
        <v>11699368.66</v>
      </c>
      <c r="Q263" s="34" t="s">
        <v>25</v>
      </c>
      <c r="R263" s="4">
        <v>2097734.08</v>
      </c>
      <c r="S263" s="3">
        <v>199422306.11000001</v>
      </c>
      <c r="T263" s="4">
        <v>8945001.9600000009</v>
      </c>
      <c r="U263" s="4">
        <v>87250.81</v>
      </c>
      <c r="V263" s="4">
        <v>28266.28</v>
      </c>
      <c r="W263" s="23">
        <v>55578.75</v>
      </c>
      <c r="X263" s="34"/>
      <c r="Y263" s="3">
        <v>348789309.69999999</v>
      </c>
    </row>
    <row r="264" spans="1:25" x14ac:dyDescent="0.3">
      <c r="A264" s="7">
        <v>32813</v>
      </c>
      <c r="B264" s="2">
        <f t="shared" si="4"/>
        <v>10897</v>
      </c>
      <c r="C264" s="3">
        <v>10601712.029999999</v>
      </c>
      <c r="D264" s="3">
        <v>-1707508.38</v>
      </c>
      <c r="E264" s="3">
        <v>275871.01</v>
      </c>
      <c r="F264" s="4">
        <v>1989683.91</v>
      </c>
      <c r="G264" s="3">
        <v>42477204.759999998</v>
      </c>
      <c r="H264" s="4">
        <v>3465627.3</v>
      </c>
      <c r="I264" s="3">
        <v>7171686.6100000003</v>
      </c>
      <c r="J264" s="3">
        <v>1062008.83</v>
      </c>
      <c r="K264" s="8">
        <v>7289852.1699999999</v>
      </c>
      <c r="L264" s="3">
        <v>414192.26</v>
      </c>
      <c r="M264" s="3">
        <v>2004123.62</v>
      </c>
      <c r="N264" s="3">
        <v>169092.62</v>
      </c>
      <c r="O264" s="34">
        <v>6277542.7199999997</v>
      </c>
      <c r="P264" s="34">
        <v>12718769.6</v>
      </c>
      <c r="Q264" s="34" t="s">
        <v>25</v>
      </c>
      <c r="R264" s="4">
        <v>2309396.06</v>
      </c>
      <c r="S264" s="3">
        <v>190516111.03</v>
      </c>
      <c r="T264" s="4">
        <v>8781863.1899999995</v>
      </c>
      <c r="U264" s="4">
        <v>100181.68</v>
      </c>
      <c r="V264" s="4">
        <v>28434.959999999999</v>
      </c>
      <c r="W264" s="23">
        <v>787.5</v>
      </c>
      <c r="X264" s="34"/>
      <c r="Y264" s="3">
        <v>295946633.48000002</v>
      </c>
    </row>
    <row r="265" spans="1:25" x14ac:dyDescent="0.3">
      <c r="A265" s="7">
        <v>32843</v>
      </c>
      <c r="B265" s="2">
        <f t="shared" si="4"/>
        <v>10927</v>
      </c>
      <c r="C265" s="3">
        <f>11117052.85+63.62</f>
        <v>11117116.469999999</v>
      </c>
      <c r="D265" s="3">
        <v>12383169.720000001</v>
      </c>
      <c r="E265" s="3">
        <v>2780685.16</v>
      </c>
      <c r="F265" s="4">
        <v>1630701.18</v>
      </c>
      <c r="G265" s="3">
        <v>39869835.100000001</v>
      </c>
      <c r="H265" s="4">
        <v>3132354.27</v>
      </c>
      <c r="I265" s="3">
        <v>6395296.4000000004</v>
      </c>
      <c r="J265" s="3">
        <v>905661.47</v>
      </c>
      <c r="K265" s="4">
        <v>6330785.7599999998</v>
      </c>
      <c r="L265" s="3">
        <v>358081.72</v>
      </c>
      <c r="M265" s="3">
        <v>1715730.53</v>
      </c>
      <c r="N265" s="3">
        <v>206944.45</v>
      </c>
      <c r="O265" s="34">
        <v>6027347.8799999999</v>
      </c>
      <c r="P265" s="34">
        <v>12156117.289999999</v>
      </c>
      <c r="Q265" s="34" t="s">
        <v>25</v>
      </c>
      <c r="R265" s="4">
        <v>2760204.4</v>
      </c>
      <c r="S265" s="3">
        <v>187714775.84999999</v>
      </c>
      <c r="T265" s="4">
        <v>6565913.2199999997</v>
      </c>
      <c r="U265" s="4">
        <v>90320.84</v>
      </c>
      <c r="V265" s="4">
        <v>25867.37</v>
      </c>
      <c r="W265" s="23">
        <v>1050</v>
      </c>
      <c r="X265" s="34"/>
      <c r="Y265" s="3">
        <v>302167959.07999998</v>
      </c>
    </row>
    <row r="266" spans="1:25" x14ac:dyDescent="0.3">
      <c r="A266" s="7">
        <v>32874</v>
      </c>
      <c r="B266" s="2">
        <f t="shared" si="4"/>
        <v>10958</v>
      </c>
      <c r="C266" s="3">
        <f>8486382.04+45.71</f>
        <v>8486427.75</v>
      </c>
      <c r="D266" s="3">
        <v>49325133.270000003</v>
      </c>
      <c r="E266" s="3">
        <v>7401468.3300000001</v>
      </c>
      <c r="F266" s="4">
        <v>3858467.33</v>
      </c>
      <c r="G266" s="3">
        <v>44681619.479999997</v>
      </c>
      <c r="H266" s="4">
        <v>3161552.68</v>
      </c>
      <c r="I266" s="3">
        <v>6405716.2800000003</v>
      </c>
      <c r="J266" s="3">
        <v>853557.25</v>
      </c>
      <c r="K266" s="4">
        <v>7858150.04</v>
      </c>
      <c r="L266" s="3">
        <v>462063.49</v>
      </c>
      <c r="M266" s="3">
        <v>2172441.5</v>
      </c>
      <c r="N266" s="3">
        <v>319077.15000000002</v>
      </c>
      <c r="O266" s="34">
        <v>6121731.6500000004</v>
      </c>
      <c r="P266" s="34">
        <v>13082245.109999999</v>
      </c>
      <c r="Q266" s="34" t="s">
        <v>25</v>
      </c>
      <c r="R266" s="4">
        <v>3214868.01</v>
      </c>
      <c r="S266" s="3">
        <v>224342888.36000001</v>
      </c>
      <c r="T266" s="4">
        <v>9043109.4499999993</v>
      </c>
      <c r="U266" s="4">
        <f>88197.54-869.31</f>
        <v>87328.23</v>
      </c>
      <c r="V266" s="4">
        <v>25541.360000000001</v>
      </c>
      <c r="W266" s="23">
        <v>2450</v>
      </c>
      <c r="X266" s="34"/>
      <c r="Y266" s="3">
        <v>390905836.72000003</v>
      </c>
    </row>
    <row r="267" spans="1:25" x14ac:dyDescent="0.3">
      <c r="A267" s="7">
        <v>32905</v>
      </c>
      <c r="B267" s="2">
        <f t="shared" si="4"/>
        <v>10989</v>
      </c>
      <c r="C267" s="3">
        <f>4929260.91-150</f>
        <v>4929110.91</v>
      </c>
      <c r="D267" s="3">
        <v>11882334.699999999</v>
      </c>
      <c r="E267" s="3">
        <v>1407695.16</v>
      </c>
      <c r="F267" s="4">
        <v>851130.85</v>
      </c>
      <c r="G267" s="10">
        <v>38447101.090000004</v>
      </c>
      <c r="H267" s="4">
        <v>3044738.28</v>
      </c>
      <c r="I267" s="3">
        <v>5800915.2599999998</v>
      </c>
      <c r="J267" s="3">
        <v>1086958.77</v>
      </c>
      <c r="K267" s="4">
        <v>9512700.3800000008</v>
      </c>
      <c r="L267" s="3">
        <v>404709.87</v>
      </c>
      <c r="M267" s="3">
        <v>1726885.32</v>
      </c>
      <c r="N267" s="3">
        <v>161546.5</v>
      </c>
      <c r="O267" s="34">
        <v>6487498.6900000004</v>
      </c>
      <c r="P267" s="34">
        <v>12867847.199999999</v>
      </c>
      <c r="Q267" s="34" t="s">
        <v>25</v>
      </c>
      <c r="R267" s="4">
        <v>1846939.51</v>
      </c>
      <c r="S267" s="3">
        <v>168639079.63</v>
      </c>
      <c r="T267" s="4">
        <v>7272985.0599999996</v>
      </c>
      <c r="U267" s="4">
        <v>95773.04</v>
      </c>
      <c r="V267" s="4">
        <v>34275.51</v>
      </c>
      <c r="W267" s="23">
        <v>3412.5</v>
      </c>
      <c r="X267" s="34"/>
      <c r="Y267" s="3">
        <v>276503638.23000002</v>
      </c>
    </row>
    <row r="268" spans="1:25" x14ac:dyDescent="0.3">
      <c r="A268" s="7">
        <v>32933</v>
      </c>
      <c r="B268" s="2">
        <f t="shared" si="4"/>
        <v>11017</v>
      </c>
      <c r="C268" s="3">
        <f>40078138.84+65.72</f>
        <v>40078204.560000002</v>
      </c>
      <c r="D268" s="3">
        <v>24698417.879999999</v>
      </c>
      <c r="E268" s="3">
        <v>4858320.34</v>
      </c>
      <c r="F268" s="4">
        <v>3922927.65</v>
      </c>
      <c r="G268" s="3">
        <v>35318534.420000002</v>
      </c>
      <c r="H268" s="4">
        <v>2332363.0099999998</v>
      </c>
      <c r="I268" s="3">
        <v>6227247.8600000003</v>
      </c>
      <c r="J268" s="3">
        <v>962145.62</v>
      </c>
      <c r="K268" s="4">
        <v>21392954.879999999</v>
      </c>
      <c r="L268" s="3">
        <v>488422.34</v>
      </c>
      <c r="M268" s="3">
        <v>1794839.23</v>
      </c>
      <c r="N268" s="3">
        <v>510122.95</v>
      </c>
      <c r="O268" s="34">
        <v>5553942.29</v>
      </c>
      <c r="P268" s="34">
        <v>12178880.07</v>
      </c>
      <c r="Q268" s="34" t="s">
        <v>25</v>
      </c>
      <c r="R268" s="4">
        <v>2020067.46</v>
      </c>
      <c r="S268" s="3">
        <v>174841687.33000001</v>
      </c>
      <c r="T268" s="4">
        <v>5780927.3300000001</v>
      </c>
      <c r="U268" s="4">
        <v>95838.67</v>
      </c>
      <c r="V268" s="4">
        <v>41434.44</v>
      </c>
      <c r="W268" s="23">
        <v>4550</v>
      </c>
      <c r="X268" s="34"/>
      <c r="Y268" s="3">
        <v>343101828.32999998</v>
      </c>
    </row>
    <row r="269" spans="1:25" x14ac:dyDescent="0.3">
      <c r="A269" s="7">
        <v>32964</v>
      </c>
      <c r="B269" s="2">
        <f t="shared" si="4"/>
        <v>11048</v>
      </c>
      <c r="C269" s="3">
        <f>59607073.96+490.68</f>
        <v>59607564.640000001</v>
      </c>
      <c r="D269" s="3">
        <v>84762299.150000006</v>
      </c>
      <c r="E269" s="3">
        <v>78388744.849999994</v>
      </c>
      <c r="F269" s="4">
        <v>9533892.4499999993</v>
      </c>
      <c r="G269" s="3">
        <v>40064428.57</v>
      </c>
      <c r="H269" s="4">
        <v>3279239.1</v>
      </c>
      <c r="I269" s="3">
        <v>6709106.7300000004</v>
      </c>
      <c r="J269" s="3">
        <v>1199053.77</v>
      </c>
      <c r="K269" s="4">
        <v>29484251.690000001</v>
      </c>
      <c r="L269" s="3">
        <v>510627.42</v>
      </c>
      <c r="M269" s="3">
        <v>2050703.38</v>
      </c>
      <c r="N269" s="3">
        <v>308568.95</v>
      </c>
      <c r="O269" s="34">
        <v>6335050.2300000004</v>
      </c>
      <c r="P269" s="34">
        <v>12774239.800000001</v>
      </c>
      <c r="Q269" s="34" t="s">
        <v>25</v>
      </c>
      <c r="R269" s="4">
        <v>2293987.37</v>
      </c>
      <c r="S269" s="3">
        <v>196921881.37</v>
      </c>
      <c r="T269" s="4">
        <v>8938796.9199999999</v>
      </c>
      <c r="U269" s="4">
        <f>103816.12+869.31</f>
        <v>104685.43</v>
      </c>
      <c r="V269" s="4">
        <v>30288.09</v>
      </c>
      <c r="W269" s="23">
        <v>5711.3</v>
      </c>
      <c r="X269" s="34"/>
      <c r="Y269" s="3">
        <v>543303121.21000004</v>
      </c>
    </row>
    <row r="270" spans="1:25" x14ac:dyDescent="0.3">
      <c r="A270" s="7">
        <v>32994</v>
      </c>
      <c r="B270" s="2">
        <f t="shared" si="4"/>
        <v>11078</v>
      </c>
      <c r="C270" s="3">
        <f>7519044.73+9.16</f>
        <v>7519053.8900000006</v>
      </c>
      <c r="D270" s="3">
        <v>16990576.690000001</v>
      </c>
      <c r="E270" s="3">
        <v>2830966.69</v>
      </c>
      <c r="F270" s="4">
        <v>2535413.38</v>
      </c>
      <c r="G270" s="3">
        <v>44221382.590000004</v>
      </c>
      <c r="H270" s="4">
        <v>3079029.95</v>
      </c>
      <c r="I270" s="3">
        <v>7572449.7699999996</v>
      </c>
      <c r="J270" s="3">
        <v>1102983.6299999999</v>
      </c>
      <c r="K270" s="4">
        <v>20767757.379999999</v>
      </c>
      <c r="L270" s="3">
        <v>512417.18</v>
      </c>
      <c r="M270" s="3">
        <v>1835196.11</v>
      </c>
      <c r="N270" s="3">
        <v>239569.22</v>
      </c>
      <c r="O270" s="34">
        <v>5883103.0499999998</v>
      </c>
      <c r="P270" s="34">
        <v>12998822.1</v>
      </c>
      <c r="Q270" s="34" t="s">
        <v>25</v>
      </c>
      <c r="R270" s="4">
        <v>2290374.83</v>
      </c>
      <c r="S270" s="3">
        <v>198056516.22</v>
      </c>
      <c r="T270" s="4">
        <v>8170301.04</v>
      </c>
      <c r="U270" s="4">
        <v>97801.03</v>
      </c>
      <c r="V270" s="4">
        <v>29598.89</v>
      </c>
      <c r="W270" s="23">
        <v>1872.14</v>
      </c>
      <c r="X270" s="34"/>
      <c r="Y270" s="3">
        <v>336735185.77999997</v>
      </c>
    </row>
    <row r="271" spans="1:25" x14ac:dyDescent="0.3">
      <c r="A271" s="7">
        <v>33025</v>
      </c>
      <c r="B271" s="2">
        <f t="shared" si="4"/>
        <v>11109</v>
      </c>
      <c r="C271" s="3">
        <f>6241465.31+197.37</f>
        <v>6241662.6799999997</v>
      </c>
      <c r="D271" s="3">
        <v>10379201.77</v>
      </c>
      <c r="E271" s="3">
        <v>958561.65</v>
      </c>
      <c r="F271" s="4">
        <v>2034631.38</v>
      </c>
      <c r="G271" s="3">
        <v>44227644.729999997</v>
      </c>
      <c r="H271" s="4">
        <v>4532729.54</v>
      </c>
      <c r="I271" s="3">
        <v>6854048.0499999998</v>
      </c>
      <c r="J271" s="3">
        <v>1168963.21</v>
      </c>
      <c r="K271" s="4">
        <v>11609102.27</v>
      </c>
      <c r="L271" s="3">
        <v>479346.09</v>
      </c>
      <c r="M271" s="3">
        <v>1938038.22</v>
      </c>
      <c r="N271" s="3">
        <v>7704944.4699999997</v>
      </c>
      <c r="O271" s="34">
        <v>6670210.0800000001</v>
      </c>
      <c r="P271" s="34">
        <v>12397098.960000001</v>
      </c>
      <c r="Q271" s="34" t="s">
        <v>25</v>
      </c>
      <c r="R271" s="4">
        <v>2495829.23</v>
      </c>
      <c r="S271" s="3">
        <v>199819045.37</v>
      </c>
      <c r="T271" s="4">
        <v>7902887.1200000001</v>
      </c>
      <c r="U271" s="4">
        <v>116536.67</v>
      </c>
      <c r="V271" s="4">
        <v>30086.53</v>
      </c>
      <c r="W271" s="23">
        <v>262.5</v>
      </c>
      <c r="X271" s="34"/>
      <c r="Y271" s="3">
        <v>327560830.51999998</v>
      </c>
    </row>
    <row r="272" spans="1:25" x14ac:dyDescent="0.3">
      <c r="A272" s="7">
        <v>33055</v>
      </c>
      <c r="B272" s="2">
        <f t="shared" si="4"/>
        <v>11139</v>
      </c>
      <c r="C272" s="3">
        <f>7355918.34+94.65</f>
        <v>7356012.9900000002</v>
      </c>
      <c r="D272" s="3">
        <v>51189675.380000003</v>
      </c>
      <c r="E272" s="3">
        <v>1156397.33</v>
      </c>
      <c r="F272" s="4">
        <v>1056119.32</v>
      </c>
      <c r="G272" s="3">
        <v>40077382.840000004</v>
      </c>
      <c r="H272" s="4">
        <v>4213807.0999999996</v>
      </c>
      <c r="I272" s="3">
        <v>6787074.2400000002</v>
      </c>
      <c r="J272" s="3">
        <v>1176109.28</v>
      </c>
      <c r="K272" s="4">
        <v>8558077.5099999998</v>
      </c>
      <c r="L272" s="3">
        <v>469775.2</v>
      </c>
      <c r="M272" s="3">
        <v>1974624.79</v>
      </c>
      <c r="N272" s="3">
        <v>673056.87</v>
      </c>
      <c r="O272" s="34">
        <v>6711123.3799999999</v>
      </c>
      <c r="P272" s="34">
        <v>16647226.16</v>
      </c>
      <c r="Q272" s="34" t="s">
        <v>25</v>
      </c>
      <c r="R272" s="4">
        <v>2208570.9900000002</v>
      </c>
      <c r="S272" s="3">
        <v>208984125.63999999</v>
      </c>
      <c r="T272" s="4">
        <v>9495397.3300000001</v>
      </c>
      <c r="U272" s="4">
        <v>98837.83</v>
      </c>
      <c r="V272" s="4">
        <v>22628.02</v>
      </c>
      <c r="W272" s="23">
        <v>480434.65</v>
      </c>
      <c r="X272" s="34"/>
      <c r="Y272" s="3">
        <v>369336456.85000002</v>
      </c>
    </row>
    <row r="273" spans="1:25" x14ac:dyDescent="0.3">
      <c r="A273" s="7">
        <v>33086</v>
      </c>
      <c r="B273" s="2">
        <f t="shared" si="4"/>
        <v>11170</v>
      </c>
      <c r="C273" s="3">
        <v>7531047.3600000003</v>
      </c>
      <c r="D273" s="3">
        <v>9383729.3499999996</v>
      </c>
      <c r="E273" s="3">
        <v>2251827.7200000002</v>
      </c>
      <c r="F273" s="4">
        <v>2240778.2799999998</v>
      </c>
      <c r="G273" s="3">
        <v>47061263.409999996</v>
      </c>
      <c r="H273" s="4">
        <v>4460719.42</v>
      </c>
      <c r="I273" s="3">
        <v>6930948.1200000001</v>
      </c>
      <c r="J273" s="3">
        <v>1253753.24</v>
      </c>
      <c r="K273" s="4">
        <v>7767365.3899999997</v>
      </c>
      <c r="L273" s="3">
        <v>493422.18</v>
      </c>
      <c r="M273" s="3">
        <v>1850459.54</v>
      </c>
      <c r="N273" s="3">
        <v>210988.04</v>
      </c>
      <c r="O273" s="34">
        <v>6343137.3799999999</v>
      </c>
      <c r="P273" s="34">
        <v>20844282.670000002</v>
      </c>
      <c r="Q273" s="34" t="s">
        <v>25</v>
      </c>
      <c r="R273" s="4">
        <v>2152931.7599999998</v>
      </c>
      <c r="S273" s="3">
        <v>203269124.88</v>
      </c>
      <c r="T273" s="4">
        <v>8505396.0199999996</v>
      </c>
      <c r="U273" s="4">
        <v>104020.06</v>
      </c>
      <c r="V273" s="4">
        <v>28783.41</v>
      </c>
      <c r="W273" s="23">
        <v>37048.42</v>
      </c>
      <c r="X273" s="34"/>
      <c r="Y273" s="3">
        <v>332721026.64999998</v>
      </c>
    </row>
    <row r="274" spans="1:25" x14ac:dyDescent="0.3">
      <c r="A274" s="7">
        <v>33117</v>
      </c>
      <c r="B274" s="2">
        <f t="shared" si="4"/>
        <v>11201</v>
      </c>
      <c r="C274" s="3">
        <f>14512656.72+55.26</f>
        <v>14512711.98</v>
      </c>
      <c r="D274" s="3">
        <v>4694807.5599999996</v>
      </c>
      <c r="E274" s="3">
        <v>675330.12</v>
      </c>
      <c r="F274" s="4">
        <v>18262807.260000002</v>
      </c>
      <c r="G274" s="3">
        <v>41836990.630000003</v>
      </c>
      <c r="H274" s="4">
        <v>4288408.5999999996</v>
      </c>
      <c r="I274" s="3">
        <v>6392973.96</v>
      </c>
      <c r="J274" s="3">
        <v>1225774.54</v>
      </c>
      <c r="K274" s="4">
        <v>7233030.79</v>
      </c>
      <c r="L274" s="3">
        <v>414984.5</v>
      </c>
      <c r="M274" s="3">
        <v>1821773.58</v>
      </c>
      <c r="N274" s="3">
        <v>388385.01</v>
      </c>
      <c r="O274" s="34">
        <v>6762704.5</v>
      </c>
      <c r="P274" s="34">
        <v>11174718.560000001</v>
      </c>
      <c r="Q274" s="34" t="s">
        <v>25</v>
      </c>
      <c r="R274" s="4">
        <v>2289275.98</v>
      </c>
      <c r="S274" s="3">
        <v>202152088.36000001</v>
      </c>
      <c r="T274" s="4">
        <v>6875266.8399999999</v>
      </c>
      <c r="U274" s="4">
        <v>115506.84</v>
      </c>
      <c r="V274" s="4">
        <v>37696.269999999997</v>
      </c>
      <c r="W274" s="23">
        <v>5346.34</v>
      </c>
      <c r="X274" s="34"/>
      <c r="Y274" s="3">
        <v>331160582.22000003</v>
      </c>
    </row>
    <row r="275" spans="1:25" x14ac:dyDescent="0.3">
      <c r="A275" s="7">
        <v>33147</v>
      </c>
      <c r="B275" s="2">
        <f t="shared" si="4"/>
        <v>11231</v>
      </c>
      <c r="C275" s="3">
        <f>20999137.62+300</f>
        <v>20999437.620000001</v>
      </c>
      <c r="D275" s="3">
        <v>30186667.02</v>
      </c>
      <c r="E275" s="3">
        <v>1851335.28</v>
      </c>
      <c r="F275" s="4">
        <v>1765873.01</v>
      </c>
      <c r="G275" s="3">
        <v>42622183.030000001</v>
      </c>
      <c r="H275" s="4">
        <v>3943663.73</v>
      </c>
      <c r="I275" s="3">
        <v>6752878.3099999996</v>
      </c>
      <c r="J275" s="3">
        <v>1061352.94</v>
      </c>
      <c r="K275" s="4">
        <v>7167390.2699999996</v>
      </c>
      <c r="L275" s="3">
        <v>483325.55</v>
      </c>
      <c r="M275" s="3">
        <v>1941980.89</v>
      </c>
      <c r="N275" s="3">
        <v>254215.37</v>
      </c>
      <c r="O275" s="34">
        <v>5571197.2000000002</v>
      </c>
      <c r="P275" s="34">
        <v>12972465.460000001</v>
      </c>
      <c r="Q275" s="34" t="s">
        <v>25</v>
      </c>
      <c r="R275" s="4">
        <v>1999541.52</v>
      </c>
      <c r="S275" s="3">
        <v>197429712.91999999</v>
      </c>
      <c r="T275" s="4">
        <v>9206587.4000000004</v>
      </c>
      <c r="U275" s="4">
        <v>95877.57</v>
      </c>
      <c r="V275" s="4">
        <v>38895.75</v>
      </c>
      <c r="W275" s="23">
        <v>3150</v>
      </c>
      <c r="X275" s="34"/>
      <c r="Y275" s="3">
        <v>346347730.83999997</v>
      </c>
    </row>
    <row r="276" spans="1:25" x14ac:dyDescent="0.3">
      <c r="A276" s="7">
        <v>33178</v>
      </c>
      <c r="B276" s="2">
        <f t="shared" si="4"/>
        <v>11262</v>
      </c>
      <c r="C276" s="3">
        <f>7020704.23+311.66</f>
        <v>7021015.8900000006</v>
      </c>
      <c r="D276" s="3">
        <v>11944801.140000001</v>
      </c>
      <c r="E276" s="3">
        <v>374395.51</v>
      </c>
      <c r="F276" s="4">
        <v>2634247.7400000002</v>
      </c>
      <c r="G276" s="3">
        <v>42466334.460000001</v>
      </c>
      <c r="H276" s="4">
        <v>4519074.95</v>
      </c>
      <c r="I276" s="3">
        <v>6752368.9000000004</v>
      </c>
      <c r="J276" s="3">
        <v>1153131.1399999999</v>
      </c>
      <c r="K276" s="4">
        <v>6980024.25</v>
      </c>
      <c r="L276" s="3">
        <v>402759.69</v>
      </c>
      <c r="M276" s="3">
        <v>1937972.35</v>
      </c>
      <c r="N276" s="3">
        <v>278536.34999999998</v>
      </c>
      <c r="O276" s="34">
        <v>6060950.2599999998</v>
      </c>
      <c r="P276" s="34">
        <v>13518205.369999999</v>
      </c>
      <c r="Q276" s="34" t="s">
        <v>25</v>
      </c>
      <c r="R276" s="4">
        <v>2369492.8199999998</v>
      </c>
      <c r="S276" s="3">
        <v>195925763.93000001</v>
      </c>
      <c r="T276" s="4">
        <v>9276000.8900000006</v>
      </c>
      <c r="U276" s="4">
        <v>97885.43</v>
      </c>
      <c r="V276" s="4">
        <v>39781.32</v>
      </c>
      <c r="W276" s="23">
        <v>4462.5</v>
      </c>
      <c r="X276" s="34"/>
      <c r="Y276" s="3">
        <v>313757204.88999999</v>
      </c>
    </row>
    <row r="277" spans="1:25" x14ac:dyDescent="0.3">
      <c r="A277" s="7">
        <v>33208</v>
      </c>
      <c r="B277" s="2">
        <f t="shared" si="4"/>
        <v>11292</v>
      </c>
      <c r="C277" s="3">
        <f>12976907.16+19.16</f>
        <v>12976926.32</v>
      </c>
      <c r="D277" s="3">
        <v>12657973.82</v>
      </c>
      <c r="E277" s="3">
        <v>4066403.76</v>
      </c>
      <c r="F277" s="4">
        <v>1409558.3</v>
      </c>
      <c r="G277" s="3">
        <v>37872963.799999997</v>
      </c>
      <c r="H277" s="4">
        <v>4086412.38</v>
      </c>
      <c r="I277" s="3">
        <v>6403290.4000000004</v>
      </c>
      <c r="J277" s="3">
        <v>962088.02</v>
      </c>
      <c r="K277" s="4">
        <v>6161273.1100000003</v>
      </c>
      <c r="L277" s="3">
        <v>361482.62</v>
      </c>
      <c r="M277" s="3">
        <v>1813096.74</v>
      </c>
      <c r="N277" s="3">
        <v>187670.02</v>
      </c>
      <c r="O277" s="34">
        <v>5099794.0599999996</v>
      </c>
      <c r="P277" s="34">
        <v>12653329.09</v>
      </c>
      <c r="Q277" s="34" t="s">
        <v>25</v>
      </c>
      <c r="R277" s="4">
        <v>2617737.4900000002</v>
      </c>
      <c r="S277" s="3">
        <v>195213729.37</v>
      </c>
      <c r="T277" s="4">
        <v>7209100.7800000003</v>
      </c>
      <c r="U277" s="4">
        <v>87974.3</v>
      </c>
      <c r="V277" s="4">
        <v>44767.73</v>
      </c>
      <c r="W277" s="23">
        <v>262.5</v>
      </c>
      <c r="X277" s="34"/>
      <c r="Y277" s="3">
        <v>311885834.61000001</v>
      </c>
    </row>
    <row r="278" spans="1:25" x14ac:dyDescent="0.3">
      <c r="A278" s="7">
        <v>33239</v>
      </c>
      <c r="B278" s="2">
        <f t="shared" si="4"/>
        <v>11323</v>
      </c>
      <c r="C278" s="3">
        <f>8351911.99-5</f>
        <v>8351906.9900000002</v>
      </c>
      <c r="D278" s="3">
        <v>46374756.32</v>
      </c>
      <c r="E278" s="3">
        <v>5125609.54</v>
      </c>
      <c r="F278" s="4">
        <v>1710136.08</v>
      </c>
      <c r="G278" s="3">
        <v>42758966.280000001</v>
      </c>
      <c r="H278" s="4">
        <v>4119409.7</v>
      </c>
      <c r="I278" s="3">
        <v>5940190.9699999997</v>
      </c>
      <c r="J278" s="3">
        <v>908870.59</v>
      </c>
      <c r="K278" s="4">
        <v>6790786.2199999997</v>
      </c>
      <c r="L278" s="3">
        <v>408316.49</v>
      </c>
      <c r="M278" s="3">
        <v>2186688.64</v>
      </c>
      <c r="N278" s="3">
        <v>167043.78</v>
      </c>
      <c r="O278" s="34">
        <v>5262272</v>
      </c>
      <c r="P278" s="34">
        <v>12999702.4</v>
      </c>
      <c r="Q278" s="34" t="s">
        <v>25</v>
      </c>
      <c r="R278" s="4">
        <v>4074476.37</v>
      </c>
      <c r="S278" s="3">
        <v>226158056.34999999</v>
      </c>
      <c r="T278" s="4">
        <v>8566235.8499999996</v>
      </c>
      <c r="U278" s="4">
        <v>80130.289999999994</v>
      </c>
      <c r="V278" s="4">
        <v>28299.78</v>
      </c>
      <c r="W278" s="23">
        <v>9100</v>
      </c>
      <c r="X278" s="34"/>
      <c r="Y278" s="3">
        <v>382020954.63999999</v>
      </c>
    </row>
    <row r="279" spans="1:25" x14ac:dyDescent="0.3">
      <c r="A279" s="7">
        <v>33270</v>
      </c>
      <c r="B279" s="2">
        <f t="shared" si="4"/>
        <v>11354</v>
      </c>
      <c r="C279" s="3">
        <v>6200695.7300000004</v>
      </c>
      <c r="D279" s="3">
        <v>7790565.4400000004</v>
      </c>
      <c r="E279" s="3">
        <v>1764070.6</v>
      </c>
      <c r="F279" s="4">
        <v>1666774.89</v>
      </c>
      <c r="G279" s="10">
        <v>39368362.299999997</v>
      </c>
      <c r="H279" s="4">
        <v>3578350.09</v>
      </c>
      <c r="I279" s="3">
        <v>5498185.25</v>
      </c>
      <c r="J279" s="3">
        <v>1047689.62</v>
      </c>
      <c r="K279" s="4">
        <v>10583214.23</v>
      </c>
      <c r="L279" s="3">
        <v>402963.65</v>
      </c>
      <c r="M279" s="3">
        <v>1596420.77</v>
      </c>
      <c r="N279" s="3">
        <v>226270.69</v>
      </c>
      <c r="O279" s="34">
        <v>4987561.8899999997</v>
      </c>
      <c r="P279" s="34">
        <v>13165725.99</v>
      </c>
      <c r="Q279" s="34" t="s">
        <v>25</v>
      </c>
      <c r="R279" s="4">
        <v>1398992.83</v>
      </c>
      <c r="S279" s="3">
        <v>164709304.77000001</v>
      </c>
      <c r="T279" s="4">
        <v>8146729.3499999996</v>
      </c>
      <c r="U279" s="4">
        <v>86342.11</v>
      </c>
      <c r="V279" s="4">
        <v>28743.31</v>
      </c>
      <c r="W279" s="23">
        <v>4375</v>
      </c>
      <c r="X279" s="34"/>
      <c r="Y279" s="3">
        <v>272251338.50999999</v>
      </c>
    </row>
    <row r="280" spans="1:25" x14ac:dyDescent="0.3">
      <c r="A280" s="7">
        <v>33298</v>
      </c>
      <c r="B280" s="2">
        <f t="shared" si="4"/>
        <v>11382</v>
      </c>
      <c r="C280" s="3">
        <v>35200571.600000001</v>
      </c>
      <c r="D280" s="3">
        <v>33443613.579999998</v>
      </c>
      <c r="E280" s="3">
        <v>4607846.1900000004</v>
      </c>
      <c r="F280" s="4">
        <v>1588827.91</v>
      </c>
      <c r="G280" s="3">
        <v>33262462.309999999</v>
      </c>
      <c r="H280" s="4">
        <v>3164917.56</v>
      </c>
      <c r="I280" s="3">
        <v>6663085.3700000001</v>
      </c>
      <c r="J280" s="3">
        <v>987920.58</v>
      </c>
      <c r="K280" s="4">
        <v>20075771.879999999</v>
      </c>
      <c r="L280" s="3">
        <v>464311.75</v>
      </c>
      <c r="M280" s="3">
        <v>1742470.53</v>
      </c>
      <c r="N280" s="3">
        <v>389344.59</v>
      </c>
      <c r="O280" s="34">
        <v>4678147.16</v>
      </c>
      <c r="P280" s="34">
        <v>12125156.68</v>
      </c>
      <c r="Q280" s="34" t="s">
        <v>25</v>
      </c>
      <c r="R280" s="4">
        <v>1732754.36</v>
      </c>
      <c r="S280" s="3">
        <v>165113354.09999999</v>
      </c>
      <c r="T280" s="4">
        <v>5963005.0099999998</v>
      </c>
      <c r="U280" s="4">
        <v>74491.429999999993</v>
      </c>
      <c r="V280" s="4">
        <v>43152.13</v>
      </c>
      <c r="W280" s="23">
        <v>1925</v>
      </c>
      <c r="X280" s="34"/>
      <c r="Y280" s="3">
        <v>331323129.72000003</v>
      </c>
    </row>
    <row r="281" spans="1:25" x14ac:dyDescent="0.3">
      <c r="A281" s="7">
        <v>33329</v>
      </c>
      <c r="B281" s="2">
        <f t="shared" si="4"/>
        <v>11413</v>
      </c>
      <c r="C281" s="3">
        <f>70033683.36-150</f>
        <v>70033533.359999999</v>
      </c>
      <c r="D281" s="3">
        <v>119508091.43000001</v>
      </c>
      <c r="E281" s="3">
        <v>73949305.599999994</v>
      </c>
      <c r="F281" s="4">
        <v>6006195.5</v>
      </c>
      <c r="G281" s="3">
        <v>38617323.960000001</v>
      </c>
      <c r="H281" s="4">
        <v>4100151.41</v>
      </c>
      <c r="I281" s="3">
        <v>6364099.7000000002</v>
      </c>
      <c r="J281" s="3">
        <v>1132788.68</v>
      </c>
      <c r="K281" s="4">
        <v>29815690.34</v>
      </c>
      <c r="L281" s="3">
        <v>545876.93999999994</v>
      </c>
      <c r="M281" s="3">
        <v>1938935.46</v>
      </c>
      <c r="N281" s="3">
        <v>763776.6</v>
      </c>
      <c r="O281" s="34">
        <v>5352362.1399999997</v>
      </c>
      <c r="P281" s="34">
        <v>12018048.039999999</v>
      </c>
      <c r="Q281" s="34" t="s">
        <v>25</v>
      </c>
      <c r="R281" s="4">
        <v>2086588.39</v>
      </c>
      <c r="S281" s="3">
        <v>197018270.12</v>
      </c>
      <c r="T281" s="4">
        <v>8431948.4600000009</v>
      </c>
      <c r="U281" s="4">
        <f>43418.18-123.91</f>
        <v>43294.27</v>
      </c>
      <c r="V281" s="4">
        <v>30889.33</v>
      </c>
      <c r="W281" s="23">
        <v>2275</v>
      </c>
      <c r="X281" s="34"/>
      <c r="Y281" s="3">
        <v>577759444.73000002</v>
      </c>
    </row>
    <row r="282" spans="1:25" x14ac:dyDescent="0.3">
      <c r="A282" s="7">
        <v>33359</v>
      </c>
      <c r="B282" s="2">
        <f t="shared" si="4"/>
        <v>11443</v>
      </c>
      <c r="C282" s="3">
        <v>8777942.6199999992</v>
      </c>
      <c r="D282" s="3">
        <v>11695143.619999999</v>
      </c>
      <c r="E282" s="3">
        <v>801033.04</v>
      </c>
      <c r="F282" s="4">
        <v>2658477.37</v>
      </c>
      <c r="G282" s="3">
        <v>42624065.060000002</v>
      </c>
      <c r="H282" s="4">
        <v>3976071.09</v>
      </c>
      <c r="I282" s="3">
        <v>7233980.6299999999</v>
      </c>
      <c r="J282" s="3">
        <v>1087915.68</v>
      </c>
      <c r="K282" s="4">
        <v>19083999.210000001</v>
      </c>
      <c r="L282" s="3">
        <v>498892.74</v>
      </c>
      <c r="M282" s="3">
        <v>1924593.65</v>
      </c>
      <c r="N282" s="3">
        <v>296299.89</v>
      </c>
      <c r="O282" s="34">
        <v>6265049.6299999999</v>
      </c>
      <c r="P282" s="34">
        <v>13436917.25</v>
      </c>
      <c r="Q282" s="34" t="s">
        <v>25</v>
      </c>
      <c r="R282" s="4">
        <v>2218449.7200000002</v>
      </c>
      <c r="S282" s="3">
        <v>192842035.72</v>
      </c>
      <c r="T282" s="4">
        <v>9002483.4000000004</v>
      </c>
      <c r="U282" s="4">
        <v>74548.960000000006</v>
      </c>
      <c r="V282" s="4">
        <v>29902.11</v>
      </c>
      <c r="W282" s="23">
        <v>525</v>
      </c>
      <c r="X282" s="34"/>
      <c r="Y282" s="3">
        <v>324528326.38999999</v>
      </c>
    </row>
    <row r="283" spans="1:25" x14ac:dyDescent="0.3">
      <c r="A283" s="7">
        <v>33390</v>
      </c>
      <c r="B283" s="2">
        <f t="shared" si="4"/>
        <v>11474</v>
      </c>
      <c r="C283" s="3">
        <v>5518976.1200000001</v>
      </c>
      <c r="D283" s="3">
        <v>6671702.4400000004</v>
      </c>
      <c r="E283" s="3">
        <v>409662.14</v>
      </c>
      <c r="F283" s="4">
        <v>3056516.7</v>
      </c>
      <c r="G283" s="3">
        <v>40700951.369999997</v>
      </c>
      <c r="H283" s="4">
        <v>3840263.89</v>
      </c>
      <c r="I283" s="3">
        <v>6670739.9800000004</v>
      </c>
      <c r="J283" s="3">
        <v>1197254.6599999999</v>
      </c>
      <c r="K283" s="4">
        <v>11052826.949999999</v>
      </c>
      <c r="L283" s="3">
        <v>447700.9</v>
      </c>
      <c r="M283" s="3">
        <v>2146153.64</v>
      </c>
      <c r="N283" s="3">
        <v>7719204.7800000003</v>
      </c>
      <c r="O283" s="34">
        <v>6234506.3099999996</v>
      </c>
      <c r="P283" s="34">
        <v>11884958.34</v>
      </c>
      <c r="Q283" s="34" t="s">
        <v>25</v>
      </c>
      <c r="R283" s="4">
        <v>2357152.2000000002</v>
      </c>
      <c r="S283" s="3">
        <v>205475642.62</v>
      </c>
      <c r="T283" s="4">
        <v>7009676.0099999998</v>
      </c>
      <c r="U283" s="4">
        <v>84469.72</v>
      </c>
      <c r="V283" s="4">
        <v>30334.21</v>
      </c>
      <c r="W283" s="23">
        <v>175</v>
      </c>
      <c r="X283" s="34"/>
      <c r="Y283" s="3">
        <v>322508867.98000002</v>
      </c>
    </row>
    <row r="284" spans="1:25" x14ac:dyDescent="0.3">
      <c r="A284" s="7">
        <v>33420</v>
      </c>
      <c r="B284" s="2">
        <f t="shared" si="4"/>
        <v>11504</v>
      </c>
      <c r="C284" s="3">
        <f>8009650.15+5</f>
        <v>8009655.1500000004</v>
      </c>
      <c r="D284" s="3">
        <v>44969730.350000001</v>
      </c>
      <c r="E284" s="3">
        <v>507077.42</v>
      </c>
      <c r="F284" s="4">
        <v>3742742.71</v>
      </c>
      <c r="G284" s="3">
        <v>44259842.68</v>
      </c>
      <c r="H284" s="4">
        <v>4373937.3600000003</v>
      </c>
      <c r="I284" s="3">
        <v>6669137.46</v>
      </c>
      <c r="J284" s="3">
        <v>1148884.05</v>
      </c>
      <c r="K284" s="4">
        <v>10197246.560000001</v>
      </c>
      <c r="L284" s="3">
        <v>544837.98</v>
      </c>
      <c r="M284" s="3">
        <v>2100957.7200000002</v>
      </c>
      <c r="N284" s="3">
        <v>1037460.01</v>
      </c>
      <c r="O284" s="34">
        <v>6719794.9400000004</v>
      </c>
      <c r="P284" s="34">
        <v>16556537.33</v>
      </c>
      <c r="Q284" s="34" t="s">
        <v>25</v>
      </c>
      <c r="R284" s="4">
        <v>2021440.8</v>
      </c>
      <c r="S284" s="3">
        <v>214264363.43000001</v>
      </c>
      <c r="T284" s="4">
        <v>9646720.2699999996</v>
      </c>
      <c r="U284" s="4">
        <f>60693.32-1321.5</f>
        <v>59371.82</v>
      </c>
      <c r="V284" s="4">
        <v>29017.72</v>
      </c>
      <c r="W284" s="23">
        <v>354179.29</v>
      </c>
      <c r="X284" s="34"/>
      <c r="Y284" s="3">
        <v>377212935.05000001</v>
      </c>
    </row>
    <row r="285" spans="1:25" x14ac:dyDescent="0.3">
      <c r="A285" s="7">
        <v>33451</v>
      </c>
      <c r="B285" s="2">
        <f t="shared" si="4"/>
        <v>11535</v>
      </c>
      <c r="C285" s="3">
        <f>6704402.25+10</f>
        <v>6704412.25</v>
      </c>
      <c r="D285" s="3">
        <v>2346509.83</v>
      </c>
      <c r="E285" s="3">
        <v>1329849.02</v>
      </c>
      <c r="F285" s="4">
        <v>3399246.96</v>
      </c>
      <c r="G285" s="3">
        <v>41850322.200000003</v>
      </c>
      <c r="H285" s="4">
        <v>3802331.16</v>
      </c>
      <c r="I285" s="3">
        <v>6962606.4800000004</v>
      </c>
      <c r="J285" s="3">
        <v>1225033.51</v>
      </c>
      <c r="K285" s="4">
        <v>8161369.79</v>
      </c>
      <c r="L285" s="3">
        <v>554188.17000000004</v>
      </c>
      <c r="M285" s="3">
        <v>1842132.73</v>
      </c>
      <c r="N285" s="3">
        <v>210176.56</v>
      </c>
      <c r="O285" s="34">
        <v>6669711.4900000002</v>
      </c>
      <c r="P285" s="34">
        <v>18757314.66</v>
      </c>
      <c r="Q285" s="34" t="s">
        <v>25</v>
      </c>
      <c r="R285" s="4">
        <v>2157754.4</v>
      </c>
      <c r="S285" s="3">
        <v>212338737.75</v>
      </c>
      <c r="T285" s="4">
        <v>8723603.1500000004</v>
      </c>
      <c r="U285" s="4">
        <f>106951.12+1321.5</f>
        <v>108272.62</v>
      </c>
      <c r="V285" s="4">
        <v>31312.26</v>
      </c>
      <c r="W285" s="23">
        <v>11507.94</v>
      </c>
      <c r="X285" s="34"/>
      <c r="Y285" s="3">
        <v>327186392.93000001</v>
      </c>
    </row>
    <row r="286" spans="1:25" x14ac:dyDescent="0.3">
      <c r="A286" s="7">
        <v>33482</v>
      </c>
      <c r="B286" s="2">
        <f t="shared" si="4"/>
        <v>11566</v>
      </c>
      <c r="C286" s="3">
        <v>17869134.59</v>
      </c>
      <c r="D286" s="3">
        <v>11056822.140000001</v>
      </c>
      <c r="E286" s="3">
        <v>105340.53</v>
      </c>
      <c r="F286" s="4">
        <v>5396179.3399999999</v>
      </c>
      <c r="G286" s="3">
        <v>41725141.729999997</v>
      </c>
      <c r="H286" s="4">
        <v>4143558.29</v>
      </c>
      <c r="I286" s="3">
        <v>5870938.54</v>
      </c>
      <c r="J286" s="3">
        <v>1262585.6200000001</v>
      </c>
      <c r="K286" s="4">
        <v>7453764.6100000003</v>
      </c>
      <c r="L286" s="3">
        <v>506107.49</v>
      </c>
      <c r="M286" s="3">
        <v>2079760.62</v>
      </c>
      <c r="N286" s="3">
        <v>511040.18</v>
      </c>
      <c r="O286" s="34">
        <v>6449769.9100000001</v>
      </c>
      <c r="P286" s="34">
        <v>14524947.779999999</v>
      </c>
      <c r="Q286" s="34" t="s">
        <v>25</v>
      </c>
      <c r="R286" s="4">
        <v>2158138.84</v>
      </c>
      <c r="S286" s="3">
        <v>207849168.81</v>
      </c>
      <c r="T286" s="4">
        <v>6435404.04</v>
      </c>
      <c r="U286" s="4">
        <v>66749.41</v>
      </c>
      <c r="V286" s="4">
        <v>26672.62</v>
      </c>
      <c r="W286" s="23">
        <v>1821.3</v>
      </c>
      <c r="X286" s="34"/>
      <c r="Y286" s="3">
        <v>335493046.38999999</v>
      </c>
    </row>
    <row r="287" spans="1:25" x14ac:dyDescent="0.3">
      <c r="A287" s="7">
        <v>33512</v>
      </c>
      <c r="B287" s="2">
        <f t="shared" si="4"/>
        <v>11596</v>
      </c>
      <c r="C287" s="3">
        <v>18181475.780000001</v>
      </c>
      <c r="D287" s="3">
        <v>20994400.07</v>
      </c>
      <c r="E287" s="3">
        <v>1922431.42</v>
      </c>
      <c r="F287" s="3">
        <v>6743867.3300000001</v>
      </c>
      <c r="G287" s="3">
        <v>41650841.960000001</v>
      </c>
      <c r="H287" s="4">
        <v>4122799.95</v>
      </c>
      <c r="I287" s="3">
        <v>7492008.6100000003</v>
      </c>
      <c r="J287" s="3">
        <v>1121365.95</v>
      </c>
      <c r="K287" s="4">
        <v>7687258.9299999997</v>
      </c>
      <c r="L287" s="3">
        <v>563835.01</v>
      </c>
      <c r="M287" s="3">
        <v>1909743.16</v>
      </c>
      <c r="N287" s="3">
        <v>311078.81</v>
      </c>
      <c r="O287" s="34">
        <v>6415848.3300000001</v>
      </c>
      <c r="P287" s="34">
        <v>12710495.33</v>
      </c>
      <c r="Q287" s="34" t="s">
        <v>25</v>
      </c>
      <c r="R287" s="4">
        <v>2047479.05</v>
      </c>
      <c r="S287" s="3">
        <v>199415773.24000001</v>
      </c>
      <c r="T287" s="4">
        <v>9184025.0299999993</v>
      </c>
      <c r="U287" s="4">
        <v>65114.57</v>
      </c>
      <c r="V287" s="4">
        <v>32336.25</v>
      </c>
      <c r="W287" s="23">
        <v>3412.5</v>
      </c>
      <c r="X287" s="34"/>
      <c r="Y287" s="3">
        <v>342575591.27999997</v>
      </c>
    </row>
    <row r="288" spans="1:25" x14ac:dyDescent="0.3">
      <c r="A288" s="7">
        <v>33543</v>
      </c>
      <c r="B288" s="2">
        <f t="shared" si="4"/>
        <v>11627</v>
      </c>
      <c r="C288" s="3">
        <v>13598361.199999999</v>
      </c>
      <c r="D288" s="3">
        <v>2700829.19</v>
      </c>
      <c r="E288" s="3">
        <v>259524.37</v>
      </c>
      <c r="F288" s="4">
        <v>1074443.01</v>
      </c>
      <c r="G288" s="3">
        <v>38346172.130000003</v>
      </c>
      <c r="H288" s="4">
        <v>4155248.23</v>
      </c>
      <c r="I288" s="3">
        <v>6499160.5499999998</v>
      </c>
      <c r="J288" s="3">
        <v>1104947.81</v>
      </c>
      <c r="K288" s="4">
        <v>6898157.9199999999</v>
      </c>
      <c r="L288" s="3">
        <v>450021.41</v>
      </c>
      <c r="M288" s="3">
        <v>1860921.96</v>
      </c>
      <c r="N288" s="3">
        <v>129573.56</v>
      </c>
      <c r="O288" s="34">
        <v>6879378.6200000001</v>
      </c>
      <c r="P288" s="34">
        <v>13689449.359999999</v>
      </c>
      <c r="Q288" s="34" t="s">
        <v>25</v>
      </c>
      <c r="R288" s="4">
        <v>2286128.65</v>
      </c>
      <c r="S288" s="3">
        <v>210788792.88</v>
      </c>
      <c r="T288" s="4">
        <v>9758793.0099999998</v>
      </c>
      <c r="U288" s="4">
        <v>71413.84</v>
      </c>
      <c r="V288" s="4">
        <v>29613.48</v>
      </c>
      <c r="W288" s="23">
        <v>525</v>
      </c>
      <c r="X288" s="34"/>
      <c r="Y288" s="3">
        <v>320581456.18000001</v>
      </c>
    </row>
    <row r="289" spans="1:25" x14ac:dyDescent="0.3">
      <c r="A289" s="7">
        <v>33573</v>
      </c>
      <c r="B289" s="2">
        <f t="shared" si="4"/>
        <v>11657</v>
      </c>
      <c r="C289" s="3">
        <v>11633182.470000001</v>
      </c>
      <c r="D289" s="3">
        <v>15184825.060000001</v>
      </c>
      <c r="E289" s="3">
        <v>2511915.83</v>
      </c>
      <c r="F289" s="4">
        <v>1135534.8400000001</v>
      </c>
      <c r="G289" s="3">
        <v>41944150.399999999</v>
      </c>
      <c r="H289" s="4">
        <v>4171847.83</v>
      </c>
      <c r="I289" s="3">
        <v>6566358.4500000002</v>
      </c>
      <c r="J289" s="3">
        <v>965607.73</v>
      </c>
      <c r="K289" s="4">
        <v>6907959.0199999996</v>
      </c>
      <c r="L289" s="3">
        <v>436003.43</v>
      </c>
      <c r="M289" s="3">
        <v>1885165.96</v>
      </c>
      <c r="N289" s="3">
        <v>236432.58</v>
      </c>
      <c r="O289" s="34">
        <v>5467369.3300000001</v>
      </c>
      <c r="P289" s="34">
        <v>12330183.369999999</v>
      </c>
      <c r="Q289" s="34" t="s">
        <v>25</v>
      </c>
      <c r="R289" s="4">
        <v>2616191.2799999998</v>
      </c>
      <c r="S289" s="3">
        <v>200427413.05000001</v>
      </c>
      <c r="T289" s="4">
        <v>7547911.1699999999</v>
      </c>
      <c r="U289" s="4">
        <v>59727.02</v>
      </c>
      <c r="V289" s="4">
        <v>36634.639999999999</v>
      </c>
      <c r="W289" s="23">
        <v>525</v>
      </c>
      <c r="X289" s="34"/>
      <c r="Y289" s="3">
        <v>322064938.45999998</v>
      </c>
    </row>
    <row r="290" spans="1:25" x14ac:dyDescent="0.3">
      <c r="A290" s="7">
        <v>33604</v>
      </c>
      <c r="B290" s="2">
        <f t="shared" si="4"/>
        <v>11688</v>
      </c>
      <c r="C290" s="3">
        <v>10963922.01</v>
      </c>
      <c r="D290" s="3">
        <v>34860850.200000003</v>
      </c>
      <c r="E290" s="3">
        <v>3542421.84</v>
      </c>
      <c r="F290" s="4">
        <v>3356229.7</v>
      </c>
      <c r="G290" s="3">
        <v>41062930.969999999</v>
      </c>
      <c r="H290" s="4">
        <v>3936673.23</v>
      </c>
      <c r="I290" s="3">
        <v>6163494.54</v>
      </c>
      <c r="J290" s="3">
        <v>943279.67</v>
      </c>
      <c r="K290" s="4">
        <v>9182128.7699999996</v>
      </c>
      <c r="L290" s="3">
        <v>533022.74</v>
      </c>
      <c r="M290" s="3">
        <v>2262938.91</v>
      </c>
      <c r="N290" s="3">
        <v>235908.86</v>
      </c>
      <c r="O290" s="34">
        <v>6804247.2699999996</v>
      </c>
      <c r="P290" s="34">
        <v>13079172.800000001</v>
      </c>
      <c r="Q290" s="34" t="s">
        <v>25</v>
      </c>
      <c r="R290" s="4">
        <v>3264066.8</v>
      </c>
      <c r="S290" s="3">
        <v>236302537.28999999</v>
      </c>
      <c r="T290" s="4">
        <v>8052098.1799999997</v>
      </c>
      <c r="U290" s="4">
        <v>60151.88</v>
      </c>
      <c r="V290" s="4">
        <v>31138.13</v>
      </c>
      <c r="W290" s="23">
        <v>9975</v>
      </c>
      <c r="X290" s="34"/>
      <c r="Y290" s="3">
        <v>384647188.79000002</v>
      </c>
    </row>
    <row r="291" spans="1:25" x14ac:dyDescent="0.3">
      <c r="A291" s="7">
        <v>33635</v>
      </c>
      <c r="B291" s="2">
        <f t="shared" si="4"/>
        <v>11719</v>
      </c>
      <c r="C291" s="3">
        <v>7274458.9800000004</v>
      </c>
      <c r="D291" s="3">
        <v>15890992.4</v>
      </c>
      <c r="E291" s="3">
        <v>1596960.45</v>
      </c>
      <c r="F291" s="4">
        <v>1873299.28</v>
      </c>
      <c r="G291" s="3">
        <v>43719350.380000003</v>
      </c>
      <c r="H291" s="4">
        <v>4149536.28</v>
      </c>
      <c r="I291" s="3">
        <v>5818300.4000000004</v>
      </c>
      <c r="J291" s="3">
        <v>1027816.2</v>
      </c>
      <c r="K291" s="4">
        <v>10661686.41</v>
      </c>
      <c r="L291" s="3">
        <v>515107.81</v>
      </c>
      <c r="M291" s="3">
        <v>1733496.93</v>
      </c>
      <c r="N291" s="3">
        <v>103714.74</v>
      </c>
      <c r="O291" s="34">
        <v>5868049.9100000001</v>
      </c>
      <c r="P291" s="34">
        <v>13082552.119999999</v>
      </c>
      <c r="Q291" s="34" t="s">
        <v>25</v>
      </c>
      <c r="R291" s="4">
        <v>1854547.32</v>
      </c>
      <c r="S291" s="3">
        <v>184683343.58000001</v>
      </c>
      <c r="T291" s="4">
        <v>8755749.3699999992</v>
      </c>
      <c r="U291" s="4">
        <v>61918.41</v>
      </c>
      <c r="V291" s="4">
        <v>27707.200000000001</v>
      </c>
      <c r="W291" s="23">
        <v>6825</v>
      </c>
      <c r="X291" s="34"/>
      <c r="Y291" s="3">
        <v>308705413.17000002</v>
      </c>
    </row>
    <row r="292" spans="1:25" x14ac:dyDescent="0.3">
      <c r="A292" s="7">
        <v>33664</v>
      </c>
      <c r="B292" s="2">
        <f t="shared" si="4"/>
        <v>11748</v>
      </c>
      <c r="C292" s="3">
        <f>46560904.73+12.34</f>
        <v>46560917.07</v>
      </c>
      <c r="D292" s="3">
        <v>27023294.140000001</v>
      </c>
      <c r="E292" s="3">
        <v>5130801.6500000004</v>
      </c>
      <c r="F292" s="4">
        <v>2140127.83</v>
      </c>
      <c r="G292" s="3">
        <v>35490882.200000003</v>
      </c>
      <c r="H292" s="4">
        <v>3316343.6</v>
      </c>
      <c r="I292" s="3">
        <v>6438948.6600000001</v>
      </c>
      <c r="J292" s="3">
        <v>957527.45</v>
      </c>
      <c r="K292" s="4">
        <v>23334122.120000001</v>
      </c>
      <c r="L292" s="3">
        <v>585980.38</v>
      </c>
      <c r="M292" s="3">
        <v>1975692.09</v>
      </c>
      <c r="N292" s="3">
        <v>347125.16</v>
      </c>
      <c r="O292" s="34">
        <v>5792880.6500000004</v>
      </c>
      <c r="P292" s="34">
        <v>12400462.810000001</v>
      </c>
      <c r="Q292" s="34" t="s">
        <v>25</v>
      </c>
      <c r="R292" s="4">
        <v>1940199.73</v>
      </c>
      <c r="S292" s="3">
        <v>189333127.69999999</v>
      </c>
      <c r="T292" s="4">
        <v>5569040.4199999999</v>
      </c>
      <c r="U292" s="4">
        <v>50077.11</v>
      </c>
      <c r="V292" s="4">
        <v>37521.870000000003</v>
      </c>
      <c r="W292" s="23">
        <v>175</v>
      </c>
      <c r="X292" s="34"/>
      <c r="Y292" s="3">
        <v>368425247.63999999</v>
      </c>
    </row>
    <row r="293" spans="1:25" x14ac:dyDescent="0.3">
      <c r="A293" s="7">
        <v>33695</v>
      </c>
      <c r="B293" s="2">
        <f t="shared" si="4"/>
        <v>11779</v>
      </c>
      <c r="C293" s="3">
        <v>71539612.75</v>
      </c>
      <c r="D293" s="3">
        <v>93199127.340000004</v>
      </c>
      <c r="E293" s="3">
        <v>75701462.849999994</v>
      </c>
      <c r="F293" s="4">
        <v>8135003.0099999998</v>
      </c>
      <c r="G293" s="3">
        <v>41226053.369999997</v>
      </c>
      <c r="H293" s="4">
        <v>4011332.83</v>
      </c>
      <c r="I293" s="3">
        <v>6880344.6100000003</v>
      </c>
      <c r="J293" s="3">
        <v>1212565.32</v>
      </c>
      <c r="K293" s="4">
        <v>26802168.940000001</v>
      </c>
      <c r="L293" s="3">
        <v>600118</v>
      </c>
      <c r="M293" s="3">
        <v>1878299.63</v>
      </c>
      <c r="N293" s="3">
        <v>201530.04</v>
      </c>
      <c r="O293" s="34">
        <v>8186754.2300000004</v>
      </c>
      <c r="P293" s="34">
        <v>12820266.34</v>
      </c>
      <c r="Q293" s="34" t="s">
        <v>25</v>
      </c>
      <c r="R293" s="4">
        <v>2237858.4</v>
      </c>
      <c r="S293" s="3">
        <v>207863934.58000001</v>
      </c>
      <c r="T293" s="4">
        <v>10085555.859999999</v>
      </c>
      <c r="U293" s="4">
        <v>58508.81</v>
      </c>
      <c r="V293" s="4">
        <v>27394.880000000001</v>
      </c>
      <c r="W293" s="23">
        <v>525</v>
      </c>
      <c r="X293" s="34"/>
      <c r="Y293" s="3">
        <v>572668416.78999996</v>
      </c>
    </row>
    <row r="294" spans="1:25" x14ac:dyDescent="0.3">
      <c r="A294" s="7">
        <v>33725</v>
      </c>
      <c r="B294" s="2">
        <f t="shared" si="4"/>
        <v>11809</v>
      </c>
      <c r="C294" s="3">
        <f>8191201.63+73.49</f>
        <v>8191275.1200000001</v>
      </c>
      <c r="D294" s="3">
        <v>11896466.800000001</v>
      </c>
      <c r="E294" s="3">
        <v>370551.57</v>
      </c>
      <c r="F294" s="4">
        <v>1409017.02</v>
      </c>
      <c r="G294" s="3">
        <v>44466089.479999997</v>
      </c>
      <c r="H294" s="4">
        <v>4569113.54</v>
      </c>
      <c r="I294" s="3">
        <v>6387150.0800000001</v>
      </c>
      <c r="J294" s="3">
        <v>1191063.32</v>
      </c>
      <c r="K294" s="4">
        <v>18668468.170000002</v>
      </c>
      <c r="L294" s="3">
        <v>519223.81</v>
      </c>
      <c r="M294" s="3">
        <v>1788731.33</v>
      </c>
      <c r="N294" s="3">
        <v>341264.45</v>
      </c>
      <c r="O294" s="34">
        <v>12896648.390000001</v>
      </c>
      <c r="P294" s="34">
        <v>13593499.779999999</v>
      </c>
      <c r="Q294" s="34" t="s">
        <v>25</v>
      </c>
      <c r="R294" s="4">
        <v>2223609.7799999998</v>
      </c>
      <c r="S294" s="3">
        <v>224997823.69999999</v>
      </c>
      <c r="T294" s="4">
        <v>9326443.1099999994</v>
      </c>
      <c r="U294" s="4">
        <f>58102.46-163.11</f>
        <v>57939.35</v>
      </c>
      <c r="V294" s="4">
        <v>36591.360000000001</v>
      </c>
      <c r="W294" s="23">
        <v>525</v>
      </c>
      <c r="X294" s="34"/>
      <c r="Y294" s="3">
        <v>362931495.16000003</v>
      </c>
    </row>
    <row r="295" spans="1:25" x14ac:dyDescent="0.3">
      <c r="A295" s="7">
        <v>33756</v>
      </c>
      <c r="B295" s="2">
        <f t="shared" si="4"/>
        <v>11840</v>
      </c>
      <c r="C295" s="3">
        <f>7313076.5+5</f>
        <v>7313081.5</v>
      </c>
      <c r="D295" s="3">
        <v>15142303.699999999</v>
      </c>
      <c r="E295" s="3">
        <v>381236.96</v>
      </c>
      <c r="F295" s="4">
        <v>4008072.27</v>
      </c>
      <c r="G295" s="3">
        <v>51254945.710000001</v>
      </c>
      <c r="H295" s="4">
        <v>5016080.82</v>
      </c>
      <c r="I295" s="3">
        <v>7388449.5199999996</v>
      </c>
      <c r="J295" s="3">
        <v>1137232.6200000001</v>
      </c>
      <c r="K295" s="4">
        <v>11641976.41</v>
      </c>
      <c r="L295" s="3">
        <v>589525.75</v>
      </c>
      <c r="M295" s="3">
        <v>2134175.7000000002</v>
      </c>
      <c r="N295" s="3">
        <v>7889469.6500000004</v>
      </c>
      <c r="O295" s="34">
        <v>14046220.210000001</v>
      </c>
      <c r="P295" s="34">
        <v>12502038.65</v>
      </c>
      <c r="Q295" s="34" t="s">
        <v>25</v>
      </c>
      <c r="R295" s="4">
        <v>2233868.31</v>
      </c>
      <c r="S295" s="3">
        <v>217083489.22999999</v>
      </c>
      <c r="T295" s="4">
        <v>6721851.7699999996</v>
      </c>
      <c r="U295" s="4">
        <f>58193.33-3491.23</f>
        <v>54702.1</v>
      </c>
      <c r="V295" s="4">
        <v>33666.370000000003</v>
      </c>
      <c r="W295" s="23">
        <v>262.5</v>
      </c>
      <c r="X295" s="34"/>
      <c r="Y295" s="3">
        <v>366572649.75</v>
      </c>
    </row>
    <row r="296" spans="1:25" x14ac:dyDescent="0.3">
      <c r="A296" s="7">
        <v>33786</v>
      </c>
      <c r="B296" s="2">
        <f t="shared" si="4"/>
        <v>11870</v>
      </c>
      <c r="C296" s="3">
        <f>8271047.01+1.68</f>
        <v>8271048.6899999995</v>
      </c>
      <c r="D296" s="3">
        <v>54392080.840000004</v>
      </c>
      <c r="E296" s="3">
        <v>316930.58</v>
      </c>
      <c r="F296" s="4">
        <v>1560621.63</v>
      </c>
      <c r="G296" s="3">
        <v>42003944.710000001</v>
      </c>
      <c r="H296" s="4">
        <v>4045919.56</v>
      </c>
      <c r="I296" s="3">
        <v>6910271.2599999998</v>
      </c>
      <c r="J296" s="3">
        <v>1321162.6399999999</v>
      </c>
      <c r="K296" s="4">
        <v>9806059.2599999998</v>
      </c>
      <c r="L296" s="3">
        <v>681578.52</v>
      </c>
      <c r="M296" s="3">
        <v>1987500.68</v>
      </c>
      <c r="N296" s="3">
        <v>683096.7</v>
      </c>
      <c r="O296" s="34">
        <v>8637439.7599999998</v>
      </c>
      <c r="P296" s="34">
        <v>16646967.029999999</v>
      </c>
      <c r="Q296" s="34" t="s">
        <v>25</v>
      </c>
      <c r="R296" s="4">
        <v>2392480.3199999998</v>
      </c>
      <c r="S296" s="3">
        <v>249592778.34999999</v>
      </c>
      <c r="T296" s="4">
        <v>9960274.8499999996</v>
      </c>
      <c r="U296" s="4">
        <v>60331.75</v>
      </c>
      <c r="V296" s="4">
        <v>32605.45</v>
      </c>
      <c r="W296" s="23">
        <v>275152.5</v>
      </c>
      <c r="X296" s="34"/>
      <c r="Y296" s="3">
        <v>419578245.07999998</v>
      </c>
    </row>
    <row r="297" spans="1:25" x14ac:dyDescent="0.3">
      <c r="A297" s="7">
        <v>33817</v>
      </c>
      <c r="B297" s="2">
        <f t="shared" si="4"/>
        <v>11901</v>
      </c>
      <c r="C297" s="3">
        <v>7034477.3200000003</v>
      </c>
      <c r="D297" s="3">
        <v>13938884.77</v>
      </c>
      <c r="E297" s="3">
        <v>1068950.8700000001</v>
      </c>
      <c r="F297" s="4">
        <v>1791451.27</v>
      </c>
      <c r="G297" s="3">
        <v>41646691.82</v>
      </c>
      <c r="H297" s="4">
        <v>4013592.61</v>
      </c>
      <c r="I297" s="3">
        <v>6539202.4100000001</v>
      </c>
      <c r="J297" s="3">
        <v>1256075.94</v>
      </c>
      <c r="K297" s="4">
        <v>9407161.7200000007</v>
      </c>
      <c r="L297" s="3">
        <v>667761.41</v>
      </c>
      <c r="M297" s="3">
        <v>2118157.7000000002</v>
      </c>
      <c r="N297" s="3">
        <v>200480.56</v>
      </c>
      <c r="O297" s="34">
        <v>7155035.7400000002</v>
      </c>
      <c r="P297" s="34">
        <v>20157524.059999999</v>
      </c>
      <c r="Q297" s="34" t="s">
        <v>25</v>
      </c>
      <c r="R297" s="4">
        <v>2141630.08</v>
      </c>
      <c r="S297" s="3">
        <f>228532927.21+41054820.9</f>
        <v>269587748.11000001</v>
      </c>
      <c r="T297" s="4">
        <v>8840297.5500000007</v>
      </c>
      <c r="U297" s="4">
        <v>52586.36</v>
      </c>
      <c r="V297" s="4">
        <v>26592.799999999999</v>
      </c>
      <c r="W297" s="23">
        <v>16273.21</v>
      </c>
      <c r="X297" s="34"/>
      <c r="Y297" s="3">
        <v>397660576.31</v>
      </c>
    </row>
    <row r="298" spans="1:25" x14ac:dyDescent="0.3">
      <c r="A298" s="7">
        <v>33848</v>
      </c>
      <c r="B298" s="2">
        <f t="shared" si="4"/>
        <v>11932</v>
      </c>
      <c r="C298" s="3">
        <v>13901867.960000001</v>
      </c>
      <c r="D298" s="3">
        <v>12340231.109999999</v>
      </c>
      <c r="E298" s="3">
        <v>279098.49</v>
      </c>
      <c r="F298" s="4">
        <v>2853429.13</v>
      </c>
      <c r="G298" s="3">
        <v>46348710.210000001</v>
      </c>
      <c r="H298" s="4">
        <v>4518347</v>
      </c>
      <c r="I298" s="3">
        <v>6806408.9800000004</v>
      </c>
      <c r="J298" s="3">
        <v>1164363.54</v>
      </c>
      <c r="K298" s="4">
        <v>7970103.3600000003</v>
      </c>
      <c r="L298" s="3">
        <v>726786.73</v>
      </c>
      <c r="M298" s="3">
        <v>1886038.35</v>
      </c>
      <c r="N298" s="3">
        <v>228206.22</v>
      </c>
      <c r="O298" s="34">
        <v>7115082.4199999999</v>
      </c>
      <c r="P298" s="34">
        <v>13653235.68</v>
      </c>
      <c r="Q298" s="34" t="s">
        <v>25</v>
      </c>
      <c r="R298" s="4">
        <v>2054035.87</v>
      </c>
      <c r="S298" s="3">
        <f>222682411.83+46213708.75</f>
        <v>268896120.58000004</v>
      </c>
      <c r="T298" s="4">
        <v>7334912.8799999999</v>
      </c>
      <c r="U298" s="4">
        <v>52374.47</v>
      </c>
      <c r="V298" s="4">
        <v>29507.09</v>
      </c>
      <c r="W298" s="23">
        <v>12425</v>
      </c>
      <c r="X298" s="34"/>
      <c r="Y298" s="3">
        <v>398171285.06999999</v>
      </c>
    </row>
    <row r="299" spans="1:25" x14ac:dyDescent="0.3">
      <c r="A299" s="7">
        <v>33878</v>
      </c>
      <c r="B299" s="2">
        <f t="shared" si="4"/>
        <v>11962</v>
      </c>
      <c r="C299" s="3">
        <v>14184557.640000001</v>
      </c>
      <c r="D299" s="3">
        <v>43753203</v>
      </c>
      <c r="E299" s="3">
        <v>1445979.52</v>
      </c>
      <c r="F299" s="3">
        <v>1850659.47</v>
      </c>
      <c r="G299" s="3">
        <v>36354180.090000004</v>
      </c>
      <c r="H299" s="4">
        <v>3718124.06</v>
      </c>
      <c r="I299" s="3">
        <v>6597348.0899999999</v>
      </c>
      <c r="J299" s="3">
        <v>1134076.52</v>
      </c>
      <c r="K299" s="4">
        <v>7700182.6200000001</v>
      </c>
      <c r="L299" s="3">
        <v>672620.34</v>
      </c>
      <c r="M299" s="3">
        <v>1808058.9</v>
      </c>
      <c r="N299" s="3">
        <v>287755.28000000003</v>
      </c>
      <c r="O299" s="34">
        <v>8507400.1999999993</v>
      </c>
      <c r="P299" s="34">
        <v>13523161.01</v>
      </c>
      <c r="Q299" s="34" t="s">
        <v>25</v>
      </c>
      <c r="R299" s="4">
        <v>2148291.46</v>
      </c>
      <c r="S299" s="3">
        <f>227463949.55+49573985.44</f>
        <v>277037934.99000001</v>
      </c>
      <c r="T299" s="4">
        <v>9276846.9900000002</v>
      </c>
      <c r="U299" s="4">
        <v>50566.57</v>
      </c>
      <c r="V299" s="4">
        <v>28177.84</v>
      </c>
      <c r="W299" s="23">
        <v>787.5</v>
      </c>
      <c r="X299" s="34"/>
      <c r="Y299" s="3">
        <v>430079912.08999997</v>
      </c>
    </row>
    <row r="300" spans="1:25" x14ac:dyDescent="0.3">
      <c r="A300" s="7">
        <v>33909</v>
      </c>
      <c r="B300" s="2">
        <f t="shared" si="4"/>
        <v>11993</v>
      </c>
      <c r="C300" s="3">
        <v>10191800.52</v>
      </c>
      <c r="D300" s="3">
        <v>7658619</v>
      </c>
      <c r="E300" s="3">
        <v>36922.559999999998</v>
      </c>
      <c r="F300" s="4">
        <v>1914121.75</v>
      </c>
      <c r="G300" s="3">
        <v>40222641</v>
      </c>
      <c r="H300" s="4">
        <v>4158933.66</v>
      </c>
      <c r="I300" s="3">
        <v>4785253.9400000004</v>
      </c>
      <c r="J300" s="3">
        <v>1050938.26</v>
      </c>
      <c r="K300" s="4">
        <v>6875631.2599999998</v>
      </c>
      <c r="L300" s="3">
        <v>611531.36</v>
      </c>
      <c r="M300" s="3">
        <v>1942029.89</v>
      </c>
      <c r="N300" s="3">
        <v>72286.58</v>
      </c>
      <c r="O300" s="34">
        <v>7741875.6600000001</v>
      </c>
      <c r="P300" s="34">
        <v>13158117.880000001</v>
      </c>
      <c r="Q300" s="34" t="s">
        <v>25</v>
      </c>
      <c r="R300" s="4">
        <v>2259664.25</v>
      </c>
      <c r="S300" s="3">
        <f>223912187.14+47308114.64</f>
        <v>271220301.77999997</v>
      </c>
      <c r="T300" s="4">
        <v>9959869.4900000002</v>
      </c>
      <c r="U300" s="4">
        <v>52178.61</v>
      </c>
      <c r="V300" s="4">
        <v>26876.2</v>
      </c>
      <c r="W300" s="23">
        <v>525</v>
      </c>
      <c r="X300" s="34"/>
      <c r="Y300" s="3">
        <v>383940118.64999998</v>
      </c>
    </row>
    <row r="301" spans="1:25" x14ac:dyDescent="0.3">
      <c r="A301" s="7">
        <v>33939</v>
      </c>
      <c r="B301" s="2">
        <f t="shared" si="4"/>
        <v>12023</v>
      </c>
      <c r="C301" s="3">
        <f>12494184.66+16.99</f>
        <v>12494201.65</v>
      </c>
      <c r="D301" s="3">
        <v>5103283.4000000004</v>
      </c>
      <c r="E301" s="3">
        <v>2921997.19</v>
      </c>
      <c r="F301" s="4">
        <v>3204198.28</v>
      </c>
      <c r="G301" s="3">
        <v>41592007.219999999</v>
      </c>
      <c r="H301" s="4">
        <v>4176855.92</v>
      </c>
      <c r="I301" s="3">
        <v>8349779.2000000002</v>
      </c>
      <c r="J301" s="3">
        <v>1037297.21</v>
      </c>
      <c r="K301" s="4">
        <v>7426882.4299999997</v>
      </c>
      <c r="L301" s="3">
        <v>645774.34</v>
      </c>
      <c r="M301" s="3">
        <v>1859788.53</v>
      </c>
      <c r="N301" s="3">
        <v>159291.97</v>
      </c>
      <c r="O301" s="34">
        <v>7214889.8499999996</v>
      </c>
      <c r="P301" s="34">
        <v>12467503.880000001</v>
      </c>
      <c r="Q301" s="34" t="s">
        <v>25</v>
      </c>
      <c r="R301" s="4">
        <v>2617786.9300000002</v>
      </c>
      <c r="S301" s="3">
        <f>221113458.91+45393180.59</f>
        <v>266506639.5</v>
      </c>
      <c r="T301" s="8">
        <v>8117444.8499999996</v>
      </c>
      <c r="U301" s="4">
        <v>54505.19</v>
      </c>
      <c r="V301" s="4">
        <v>33747.279999999999</v>
      </c>
      <c r="W301" s="23">
        <v>2100</v>
      </c>
      <c r="X301" s="34"/>
      <c r="Y301" s="3">
        <v>385985974.81999999</v>
      </c>
    </row>
    <row r="302" spans="1:25" x14ac:dyDescent="0.3">
      <c r="A302" s="7">
        <v>33970</v>
      </c>
      <c r="B302" s="2">
        <f t="shared" si="4"/>
        <v>12054</v>
      </c>
      <c r="C302" s="3">
        <f>12443475.38+50</f>
        <v>12443525.380000001</v>
      </c>
      <c r="D302" s="3">
        <v>46141168.539999999</v>
      </c>
      <c r="E302" s="3">
        <v>2301807.54</v>
      </c>
      <c r="F302" s="4">
        <v>1503554.49</v>
      </c>
      <c r="G302" s="3">
        <v>43472202.109999999</v>
      </c>
      <c r="H302" s="4">
        <v>4313074.71</v>
      </c>
      <c r="I302" s="3">
        <v>5988249.04</v>
      </c>
      <c r="J302" s="3">
        <v>1044979.95</v>
      </c>
      <c r="K302" s="4">
        <v>8355707.9500000002</v>
      </c>
      <c r="L302" s="3">
        <v>629107.6</v>
      </c>
      <c r="M302" s="3">
        <v>2178976.1800000002</v>
      </c>
      <c r="N302" s="3">
        <v>79210.83</v>
      </c>
      <c r="O302" s="34">
        <v>8979183.3100000005</v>
      </c>
      <c r="P302" s="34">
        <v>12771090.48</v>
      </c>
      <c r="Q302" s="34" t="s">
        <v>25</v>
      </c>
      <c r="R302" s="4">
        <v>3404226.22</v>
      </c>
      <c r="S302" s="3">
        <f>273915522.09+45602309.82</f>
        <v>319517831.90999997</v>
      </c>
      <c r="T302" s="4">
        <v>7972823.2199999997</v>
      </c>
      <c r="U302" s="4">
        <v>49501.599999999999</v>
      </c>
      <c r="V302" s="4">
        <v>32738</v>
      </c>
      <c r="W302" s="23">
        <v>875</v>
      </c>
      <c r="X302" s="34"/>
      <c r="Y302" s="3">
        <v>481179834.06</v>
      </c>
    </row>
    <row r="303" spans="1:25" x14ac:dyDescent="0.3">
      <c r="A303" s="7">
        <v>34001</v>
      </c>
      <c r="B303" s="2">
        <f t="shared" si="4"/>
        <v>12085</v>
      </c>
      <c r="C303" s="3">
        <v>8012347.7800000003</v>
      </c>
      <c r="D303" s="3">
        <v>7483753.96</v>
      </c>
      <c r="E303" s="3">
        <v>1387498.27</v>
      </c>
      <c r="F303" s="4">
        <v>1241693.99</v>
      </c>
      <c r="G303" s="3">
        <v>42777895.549999997</v>
      </c>
      <c r="H303" s="4">
        <v>4066219.92</v>
      </c>
      <c r="I303" s="3">
        <v>4380585</v>
      </c>
      <c r="J303" s="3">
        <v>952183.01</v>
      </c>
      <c r="K303" s="4">
        <v>11342747.289999999</v>
      </c>
      <c r="L303" s="3">
        <v>710613.54</v>
      </c>
      <c r="M303" s="3">
        <v>1970069.69</v>
      </c>
      <c r="N303" s="3">
        <v>170198.86</v>
      </c>
      <c r="O303" s="34">
        <v>6177591.2999999998</v>
      </c>
      <c r="P303" s="34">
        <v>13451648.800000001</v>
      </c>
      <c r="Q303" s="34" t="s">
        <v>25</v>
      </c>
      <c r="R303" s="4">
        <v>1664215.81</v>
      </c>
      <c r="S303" s="3">
        <f>194382582+46420470.21</f>
        <v>240803052.21000001</v>
      </c>
      <c r="T303" s="4">
        <v>8551541.9499999993</v>
      </c>
      <c r="U303" s="4">
        <v>42503.16</v>
      </c>
      <c r="V303" s="4">
        <v>28179.97</v>
      </c>
      <c r="W303" s="23">
        <v>15986.96</v>
      </c>
      <c r="X303" s="34"/>
      <c r="Y303" s="3">
        <v>355230527.01999998</v>
      </c>
    </row>
    <row r="304" spans="1:25" x14ac:dyDescent="0.3">
      <c r="A304" s="7">
        <v>34029</v>
      </c>
      <c r="B304" s="2">
        <f t="shared" si="4"/>
        <v>12113</v>
      </c>
      <c r="C304" s="3">
        <f>54442367.42+3.65</f>
        <v>54442371.07</v>
      </c>
      <c r="D304" s="3">
        <v>37352192.049999997</v>
      </c>
      <c r="E304" s="3">
        <v>6629787.3700000001</v>
      </c>
      <c r="F304" s="4">
        <v>6535425.0199999996</v>
      </c>
      <c r="G304" s="3">
        <v>25110580.23</v>
      </c>
      <c r="H304" s="4">
        <v>2164630.91</v>
      </c>
      <c r="I304" s="3">
        <v>8183565.5899999999</v>
      </c>
      <c r="J304" s="3">
        <v>1025004.07</v>
      </c>
      <c r="K304" s="4">
        <v>23730065.5</v>
      </c>
      <c r="L304" s="3">
        <v>768323.18</v>
      </c>
      <c r="M304" s="3">
        <v>1961916.53</v>
      </c>
      <c r="N304" s="3">
        <v>232980.27</v>
      </c>
      <c r="O304" s="34">
        <v>6830282.9500000002</v>
      </c>
      <c r="P304" s="34">
        <v>12573067.23</v>
      </c>
      <c r="Q304" s="34" t="s">
        <v>25</v>
      </c>
      <c r="R304" s="4">
        <v>2006668.46</v>
      </c>
      <c r="S304" s="3">
        <f>201125386.65+43483052.54</f>
        <v>244608439.19</v>
      </c>
      <c r="T304" s="4">
        <v>7231280.3399999999</v>
      </c>
      <c r="U304" s="4">
        <v>52648.33</v>
      </c>
      <c r="V304" s="4">
        <v>34297.089999999997</v>
      </c>
      <c r="W304" s="23">
        <v>3500</v>
      </c>
      <c r="X304" s="34"/>
      <c r="Y304" s="3">
        <v>441477025.38</v>
      </c>
    </row>
    <row r="305" spans="1:25" x14ac:dyDescent="0.3">
      <c r="A305" s="7">
        <v>34060</v>
      </c>
      <c r="B305" s="2">
        <f t="shared" si="4"/>
        <v>12144</v>
      </c>
      <c r="C305" s="3">
        <v>71698056.590000004</v>
      </c>
      <c r="D305" s="3">
        <v>107531242.16</v>
      </c>
      <c r="E305" s="3">
        <v>77593440.180000007</v>
      </c>
      <c r="F305" s="4">
        <v>19449544.120000001</v>
      </c>
      <c r="G305" s="3">
        <v>42665274.409999996</v>
      </c>
      <c r="H305" s="4">
        <v>4380160.88</v>
      </c>
      <c r="I305" s="3">
        <v>6175354.0300000003</v>
      </c>
      <c r="J305" s="3">
        <v>1248246.57</v>
      </c>
      <c r="K305" s="4">
        <v>28953819.789999999</v>
      </c>
      <c r="L305" s="3">
        <v>840000.67</v>
      </c>
      <c r="M305" s="3">
        <v>1882571.25</v>
      </c>
      <c r="N305" s="3">
        <v>164475.98000000001</v>
      </c>
      <c r="O305" s="34">
        <v>8512065.2100000009</v>
      </c>
      <c r="P305" s="34">
        <v>13169977.16</v>
      </c>
      <c r="Q305" s="34" t="s">
        <v>25</v>
      </c>
      <c r="R305" s="4">
        <v>2297402.15</v>
      </c>
      <c r="S305" s="3">
        <f>225962852.64+49076152.21</f>
        <v>275039004.84999996</v>
      </c>
      <c r="T305" s="4">
        <v>9568828.9700000007</v>
      </c>
      <c r="U305" s="4">
        <v>57941.64</v>
      </c>
      <c r="V305" s="4">
        <v>25406.31</v>
      </c>
      <c r="W305" s="23">
        <v>437.5</v>
      </c>
      <c r="X305" s="34"/>
      <c r="Y305" s="3">
        <v>671253250.41999996</v>
      </c>
    </row>
    <row r="306" spans="1:25" x14ac:dyDescent="0.3">
      <c r="A306" s="7">
        <v>34090</v>
      </c>
      <c r="B306" s="2">
        <f t="shared" si="4"/>
        <v>12174</v>
      </c>
      <c r="C306" s="3">
        <v>9525242.4600000009</v>
      </c>
      <c r="D306" s="3">
        <v>13149344.01</v>
      </c>
      <c r="E306" s="3">
        <v>564162.65</v>
      </c>
      <c r="F306" s="4">
        <v>10353136.960000001</v>
      </c>
      <c r="G306" s="3">
        <v>40819610.909999996</v>
      </c>
      <c r="H306" s="4">
        <v>4069754.38</v>
      </c>
      <c r="I306" s="3">
        <v>7565946.1699999999</v>
      </c>
      <c r="J306" s="3">
        <v>1108249.05</v>
      </c>
      <c r="K306" s="4">
        <v>19560855.760000002</v>
      </c>
      <c r="L306" s="3">
        <v>712075.1</v>
      </c>
      <c r="M306" s="3">
        <v>1944109.57</v>
      </c>
      <c r="N306" s="3">
        <v>121712.71</v>
      </c>
      <c r="O306" s="34">
        <v>11396833.060000001</v>
      </c>
      <c r="P306" s="34">
        <v>13021384.109999999</v>
      </c>
      <c r="Q306" s="34" t="s">
        <v>25</v>
      </c>
      <c r="R306" s="4">
        <v>2312907.66</v>
      </c>
      <c r="S306" s="3">
        <f>230380149.56+49230075.32</f>
        <v>279610224.88</v>
      </c>
      <c r="T306" s="4">
        <v>10743936.23</v>
      </c>
      <c r="U306" s="4">
        <f>55633.8-935.99</f>
        <v>54697.810000000005</v>
      </c>
      <c r="V306" s="4">
        <v>32708.01</v>
      </c>
      <c r="W306" s="23">
        <v>262.5</v>
      </c>
      <c r="X306" s="34"/>
      <c r="Y306" s="3">
        <v>426667153.99000001</v>
      </c>
    </row>
    <row r="307" spans="1:25" x14ac:dyDescent="0.3">
      <c r="A307" s="7">
        <v>34121</v>
      </c>
      <c r="B307" s="2">
        <f t="shared" si="4"/>
        <v>12205</v>
      </c>
      <c r="C307" s="3">
        <v>6779058.2800000003</v>
      </c>
      <c r="D307" s="3">
        <v>16478982.359999999</v>
      </c>
      <c r="E307" s="3">
        <v>347819.1</v>
      </c>
      <c r="F307" s="4">
        <v>4073421.58</v>
      </c>
      <c r="G307" s="3">
        <v>45688420.869999997</v>
      </c>
      <c r="H307" s="4">
        <v>4375933.25</v>
      </c>
      <c r="I307" s="3">
        <v>7011464.2400000002</v>
      </c>
      <c r="J307" s="3">
        <v>1134200.3</v>
      </c>
      <c r="K307" s="4">
        <v>14418695.460000001</v>
      </c>
      <c r="L307" s="3">
        <v>786684.29</v>
      </c>
      <c r="M307" s="3">
        <v>1929231.99</v>
      </c>
      <c r="N307" s="3">
        <v>9389171.5600000005</v>
      </c>
      <c r="O307" s="34">
        <v>16006824.880000001</v>
      </c>
      <c r="P307" s="34">
        <v>12547053.84</v>
      </c>
      <c r="Q307" s="34" t="s">
        <v>25</v>
      </c>
      <c r="R307" s="4">
        <v>2180423.21</v>
      </c>
      <c r="S307" s="3">
        <f>234943398.39+48734094.16</f>
        <v>283677492.54999995</v>
      </c>
      <c r="T307" s="4">
        <v>8525099</v>
      </c>
      <c r="U307" s="4">
        <v>44832.44</v>
      </c>
      <c r="V307" s="4">
        <v>25531.87</v>
      </c>
      <c r="W307" s="23">
        <v>0</v>
      </c>
      <c r="X307" s="34"/>
      <c r="Y307" s="3">
        <v>435420341.06999999</v>
      </c>
    </row>
    <row r="308" spans="1:25" x14ac:dyDescent="0.3">
      <c r="A308" s="7">
        <v>34151</v>
      </c>
      <c r="B308" s="2">
        <f t="shared" si="4"/>
        <v>12235</v>
      </c>
      <c r="C308" s="3">
        <f>7950765.04+70.23</f>
        <v>7950835.2700000005</v>
      </c>
      <c r="D308" s="3">
        <v>65881316.509999998</v>
      </c>
      <c r="E308" s="3">
        <v>380203.31</v>
      </c>
      <c r="F308" s="4">
        <v>1869093.61</v>
      </c>
      <c r="G308" s="3">
        <v>44262534.869999997</v>
      </c>
      <c r="H308" s="4">
        <v>4332169.8</v>
      </c>
      <c r="I308" s="3">
        <v>6555518.9500000002</v>
      </c>
      <c r="J308" s="3">
        <v>1308961.5900000001</v>
      </c>
      <c r="K308" s="4">
        <v>10077236.050000001</v>
      </c>
      <c r="L308" s="3">
        <v>758630.26</v>
      </c>
      <c r="M308" s="3">
        <v>1896584.66</v>
      </c>
      <c r="N308" s="3">
        <v>465209.74</v>
      </c>
      <c r="O308" s="34">
        <v>13354875.35</v>
      </c>
      <c r="P308" s="34">
        <v>16189972.779999999</v>
      </c>
      <c r="Q308" s="34" t="s">
        <v>25</v>
      </c>
      <c r="R308" s="4">
        <v>2294353.7200000002</v>
      </c>
      <c r="S308" s="3">
        <f>250086709.13+50881877.02</f>
        <v>300968586.14999998</v>
      </c>
      <c r="T308" s="4">
        <v>8905219.4100000001</v>
      </c>
      <c r="U308" s="4">
        <v>61127.59</v>
      </c>
      <c r="V308" s="4">
        <v>29982.51</v>
      </c>
      <c r="W308" s="23">
        <v>182496.93</v>
      </c>
      <c r="X308" s="34"/>
      <c r="Y308" s="3">
        <v>487724909.06</v>
      </c>
    </row>
    <row r="309" spans="1:25" x14ac:dyDescent="0.3">
      <c r="A309" s="7">
        <v>34182</v>
      </c>
      <c r="B309" s="2">
        <f t="shared" si="4"/>
        <v>12266</v>
      </c>
      <c r="C309" s="3">
        <f>7697785.54+1331</f>
        <v>7699116.54</v>
      </c>
      <c r="D309" s="3">
        <v>13153659.57</v>
      </c>
      <c r="E309" s="3">
        <v>1196457.6200000001</v>
      </c>
      <c r="F309" s="4">
        <v>4036901.74</v>
      </c>
      <c r="G309" s="3">
        <v>46984491.68</v>
      </c>
      <c r="H309" s="4">
        <v>4697085.22</v>
      </c>
      <c r="I309" s="3">
        <v>6567431.7800000003</v>
      </c>
      <c r="J309" s="3">
        <v>1281409.95</v>
      </c>
      <c r="K309" s="4">
        <v>9353127.6400000006</v>
      </c>
      <c r="L309" s="3">
        <v>840728.05</v>
      </c>
      <c r="M309" s="3">
        <v>2014043.56</v>
      </c>
      <c r="N309" s="3">
        <v>109402.96</v>
      </c>
      <c r="O309" s="34">
        <v>9008617.5600000005</v>
      </c>
      <c r="P309" s="34">
        <v>21789925.870000001</v>
      </c>
      <c r="Q309" s="34" t="s">
        <v>25</v>
      </c>
      <c r="R309" s="4">
        <v>1944085.52</v>
      </c>
      <c r="S309" s="3">
        <f>244912003.19+53782824.9</f>
        <v>298694828.08999997</v>
      </c>
      <c r="T309" s="4">
        <v>9944338.7799999993</v>
      </c>
      <c r="U309" s="4">
        <v>38389.910000000003</v>
      </c>
      <c r="V309" s="4">
        <v>25569.13</v>
      </c>
      <c r="W309" s="23">
        <v>30905</v>
      </c>
      <c r="X309" s="34"/>
      <c r="Y309" s="3">
        <v>439410516.17000002</v>
      </c>
    </row>
    <row r="310" spans="1:25" x14ac:dyDescent="0.3">
      <c r="A310" s="7">
        <v>34213</v>
      </c>
      <c r="B310" s="2">
        <f t="shared" si="4"/>
        <v>12297</v>
      </c>
      <c r="C310" s="3">
        <v>15372807.16</v>
      </c>
      <c r="D310" s="3">
        <v>16407612.560000001</v>
      </c>
      <c r="E310" s="3">
        <v>228124.69</v>
      </c>
      <c r="F310" s="4">
        <v>2640963.6800000002</v>
      </c>
      <c r="G310" s="3">
        <v>46625291.460000001</v>
      </c>
      <c r="H310" s="4">
        <v>4556021.49</v>
      </c>
      <c r="I310" s="3">
        <v>6465374.8799999999</v>
      </c>
      <c r="J310" s="3">
        <v>1232606.55</v>
      </c>
      <c r="K310" s="4">
        <v>8722710.8399999999</v>
      </c>
      <c r="L310" s="3">
        <v>763821.8</v>
      </c>
      <c r="M310" s="3">
        <v>1865227.19</v>
      </c>
      <c r="N310" s="3">
        <v>220444.95</v>
      </c>
      <c r="O310" s="34">
        <v>9064422.4499999993</v>
      </c>
      <c r="P310" s="34">
        <v>12343972.24</v>
      </c>
      <c r="Q310" s="34" t="s">
        <v>25</v>
      </c>
      <c r="R310" s="4">
        <v>2104982.7400000002</v>
      </c>
      <c r="S310" s="3">
        <f>238640307.89+52867621.74</f>
        <v>291507929.63</v>
      </c>
      <c r="T310" s="4">
        <v>7794111.1600000001</v>
      </c>
      <c r="U310" s="4">
        <v>53628.89</v>
      </c>
      <c r="V310" s="4">
        <v>25395.22</v>
      </c>
      <c r="W310" s="23">
        <v>4900</v>
      </c>
      <c r="X310" s="34"/>
      <c r="Y310" s="3">
        <v>428000349.57999998</v>
      </c>
    </row>
    <row r="311" spans="1:25" x14ac:dyDescent="0.3">
      <c r="A311" s="7">
        <v>34243</v>
      </c>
      <c r="B311" s="2">
        <f t="shared" si="4"/>
        <v>12327</v>
      </c>
      <c r="C311" s="3">
        <v>14252382.35</v>
      </c>
      <c r="D311" s="3">
        <v>55381715.090000004</v>
      </c>
      <c r="E311" s="3">
        <v>1223663.8999999999</v>
      </c>
      <c r="F311" s="3">
        <v>1785447.1</v>
      </c>
      <c r="G311" s="3">
        <v>39179198.939999998</v>
      </c>
      <c r="H311" s="4">
        <v>4206397.6399999997</v>
      </c>
      <c r="I311" s="3">
        <v>6035609.5599999996</v>
      </c>
      <c r="J311" s="3">
        <v>1225325.73</v>
      </c>
      <c r="K311" s="4">
        <v>8448887.9399999995</v>
      </c>
      <c r="L311" s="3">
        <v>716555.94</v>
      </c>
      <c r="M311" s="3">
        <v>1950072.86</v>
      </c>
      <c r="N311" s="3">
        <v>141225.07999999999</v>
      </c>
      <c r="O311" s="34">
        <v>10286276.26</v>
      </c>
      <c r="P311" s="34">
        <v>13195012.220000001</v>
      </c>
      <c r="Q311" s="34" t="s">
        <v>25</v>
      </c>
      <c r="R311" s="4">
        <v>2154411.77</v>
      </c>
      <c r="S311" s="3">
        <f>253740880.79+49395645.08</f>
        <v>303136525.87</v>
      </c>
      <c r="T311" s="4">
        <v>10960285.390000001</v>
      </c>
      <c r="U311" s="4">
        <f>59154.33-245.87</f>
        <v>58908.46</v>
      </c>
      <c r="V311" s="4">
        <v>23043.14</v>
      </c>
      <c r="W311" s="23">
        <v>8137.5</v>
      </c>
      <c r="X311" s="34"/>
      <c r="Y311" s="3">
        <v>474369082.74000001</v>
      </c>
    </row>
    <row r="312" spans="1:25" x14ac:dyDescent="0.3">
      <c r="A312" s="7">
        <v>34274</v>
      </c>
      <c r="B312" s="2">
        <f t="shared" si="4"/>
        <v>12358</v>
      </c>
      <c r="C312" s="3">
        <v>5914437.75</v>
      </c>
      <c r="D312" s="3">
        <v>12038509.039999999</v>
      </c>
      <c r="E312" s="3">
        <v>209304.05</v>
      </c>
      <c r="F312" s="4">
        <v>2565048.34</v>
      </c>
      <c r="G312" s="3">
        <v>43765135.869999997</v>
      </c>
      <c r="H312" s="4">
        <v>4772748.33</v>
      </c>
      <c r="I312" s="3">
        <v>8028121.25</v>
      </c>
      <c r="J312" s="3">
        <v>1006578.58</v>
      </c>
      <c r="K312" s="4">
        <v>7897143.8499999996</v>
      </c>
      <c r="L312" s="3">
        <v>611220.44999999995</v>
      </c>
      <c r="M312" s="3">
        <v>2088114.18</v>
      </c>
      <c r="N312" s="3">
        <v>177439.95</v>
      </c>
      <c r="O312" s="34">
        <v>8592823.9100000001</v>
      </c>
      <c r="P312" s="34">
        <v>13523679.33</v>
      </c>
      <c r="Q312" s="34" t="s">
        <v>25</v>
      </c>
      <c r="R312" s="4">
        <v>2137950.7400000002</v>
      </c>
      <c r="S312" s="3">
        <f>238957004.03+48642764.61</f>
        <v>287599768.63999999</v>
      </c>
      <c r="T312" s="4">
        <v>10480949.23</v>
      </c>
      <c r="U312" s="4">
        <v>49222.14</v>
      </c>
      <c r="V312" s="4">
        <v>23795.67</v>
      </c>
      <c r="W312" s="23">
        <v>20475</v>
      </c>
      <c r="X312" s="34"/>
      <c r="Y312" s="3">
        <v>411502466.30000001</v>
      </c>
    </row>
    <row r="313" spans="1:25" x14ac:dyDescent="0.3">
      <c r="A313" s="7">
        <v>34304</v>
      </c>
      <c r="B313" s="2">
        <f t="shared" si="4"/>
        <v>12388</v>
      </c>
      <c r="C313" s="3">
        <v>11075071.35</v>
      </c>
      <c r="D313" s="3">
        <v>9060492.8800000008</v>
      </c>
      <c r="E313" s="3">
        <v>2182095.4500000002</v>
      </c>
      <c r="F313" s="4">
        <v>5525616.1699999999</v>
      </c>
      <c r="G313" s="3">
        <v>41677155.119999997</v>
      </c>
      <c r="H313" s="4">
        <v>4599300.24</v>
      </c>
      <c r="I313" s="3">
        <v>6369436.7599999998</v>
      </c>
      <c r="J313" s="3">
        <v>1172319.6200000001</v>
      </c>
      <c r="K313" s="4">
        <v>8269329.9100000001</v>
      </c>
      <c r="L313" s="3">
        <v>684372.9</v>
      </c>
      <c r="M313" s="3">
        <v>1980329.18</v>
      </c>
      <c r="N313" s="3">
        <v>174848.4</v>
      </c>
      <c r="O313" s="34">
        <v>8803279.6999999993</v>
      </c>
      <c r="P313" s="34">
        <v>13055791.699999999</v>
      </c>
      <c r="Q313" s="34" t="s">
        <v>25</v>
      </c>
      <c r="R313" s="4">
        <v>2707924.6</v>
      </c>
      <c r="S313" s="3">
        <f>240469313.04+47741930.71</f>
        <v>288211243.75</v>
      </c>
      <c r="T313" s="4">
        <v>8026131.4900000002</v>
      </c>
      <c r="U313" s="4">
        <v>56976.07</v>
      </c>
      <c r="V313" s="4">
        <v>28960.89</v>
      </c>
      <c r="W313" s="23">
        <v>787.5</v>
      </c>
      <c r="X313" s="34"/>
      <c r="Y313" s="3">
        <v>413661463.68000001</v>
      </c>
    </row>
    <row r="314" spans="1:25" x14ac:dyDescent="0.3">
      <c r="A314" s="7">
        <v>34335</v>
      </c>
      <c r="B314" s="2">
        <f t="shared" si="4"/>
        <v>12419</v>
      </c>
      <c r="C314" s="3">
        <f>9829119.43+15</f>
        <v>9829134.4299999997</v>
      </c>
      <c r="D314" s="3">
        <v>51231716.380000003</v>
      </c>
      <c r="E314" s="3">
        <v>3394733.72</v>
      </c>
      <c r="F314" s="4">
        <v>2745485.22</v>
      </c>
      <c r="G314" s="3">
        <v>48002392.789999999</v>
      </c>
      <c r="H314" s="4">
        <v>4203531.67</v>
      </c>
      <c r="I314" s="3">
        <v>5859513.7300000004</v>
      </c>
      <c r="J314" s="3">
        <v>1062526.9099999999</v>
      </c>
      <c r="K314" s="4">
        <v>7081135.1600000001</v>
      </c>
      <c r="L314" s="3">
        <v>714163.09</v>
      </c>
      <c r="M314" s="3">
        <v>2278044.0299999998</v>
      </c>
      <c r="N314" s="3">
        <v>123389.34</v>
      </c>
      <c r="O314" s="34">
        <v>11017336.57</v>
      </c>
      <c r="P314" s="34">
        <v>12800905.65</v>
      </c>
      <c r="Q314" s="34" t="s">
        <v>25</v>
      </c>
      <c r="R314" s="4">
        <v>3350715.21</v>
      </c>
      <c r="S314" s="3">
        <f>301741274.64+46643358.42</f>
        <v>348384633.06</v>
      </c>
      <c r="T314" s="4">
        <v>9431497.4900000002</v>
      </c>
      <c r="U314" s="4">
        <f>47620.54-255.16</f>
        <v>47365.38</v>
      </c>
      <c r="V314" s="4">
        <v>18487.66</v>
      </c>
      <c r="W314" s="23">
        <v>0</v>
      </c>
      <c r="X314" s="34"/>
      <c r="Y314" s="3">
        <v>521576707.49000001</v>
      </c>
    </row>
    <row r="315" spans="1:25" x14ac:dyDescent="0.3">
      <c r="A315" s="7">
        <v>34366</v>
      </c>
      <c r="B315" s="2">
        <f t="shared" si="4"/>
        <v>12450</v>
      </c>
      <c r="C315" s="3">
        <f>10456279.83-10</f>
        <v>10456269.83</v>
      </c>
      <c r="D315" s="3">
        <v>9404311.0399999991</v>
      </c>
      <c r="E315" s="3">
        <v>1366774.43</v>
      </c>
      <c r="F315" s="4">
        <v>3015420.92</v>
      </c>
      <c r="G315" s="3">
        <v>41634513.740000002</v>
      </c>
      <c r="H315" s="4">
        <v>3906830.2</v>
      </c>
      <c r="I315" s="3">
        <v>5803191.1799999997</v>
      </c>
      <c r="J315" s="3">
        <v>1104565.1599999999</v>
      </c>
      <c r="K315" s="4">
        <v>9542296.6500000004</v>
      </c>
      <c r="L315" s="3">
        <v>661870.01</v>
      </c>
      <c r="M315" s="3">
        <v>1781926.77</v>
      </c>
      <c r="N315" s="3">
        <v>75563.009999999995</v>
      </c>
      <c r="O315" s="34">
        <v>7564290.2800000003</v>
      </c>
      <c r="P315" s="34">
        <v>12988752.5</v>
      </c>
      <c r="Q315" s="34" t="s">
        <v>25</v>
      </c>
      <c r="R315" s="4">
        <v>1639403.88</v>
      </c>
      <c r="S315" s="3">
        <f>212002446.11+1027785.15</f>
        <v>213030231.26000002</v>
      </c>
      <c r="T315" s="4">
        <v>9578116.8900000006</v>
      </c>
      <c r="U315" s="4">
        <v>41763.629999999997</v>
      </c>
      <c r="V315" s="4">
        <f>14222.26-7.9</f>
        <v>14214.36</v>
      </c>
      <c r="W315" s="23">
        <v>0</v>
      </c>
      <c r="X315" s="34"/>
      <c r="Y315" s="3">
        <v>333610305.74000001</v>
      </c>
    </row>
    <row r="316" spans="1:25" x14ac:dyDescent="0.3">
      <c r="A316" s="7">
        <v>34394</v>
      </c>
      <c r="B316" s="2">
        <f t="shared" si="4"/>
        <v>12478</v>
      </c>
      <c r="C316" s="3">
        <v>67617721.859999999</v>
      </c>
      <c r="D316" s="3">
        <v>36966776.189999998</v>
      </c>
      <c r="E316" s="3">
        <v>6992996.3399999999</v>
      </c>
      <c r="F316" s="4">
        <v>3930379.98</v>
      </c>
      <c r="G316" s="3">
        <v>31423071.199999999</v>
      </c>
      <c r="H316" s="4">
        <v>3348887.68</v>
      </c>
      <c r="I316" s="3">
        <v>7185668.5899999999</v>
      </c>
      <c r="J316" s="3">
        <v>1028537.08</v>
      </c>
      <c r="K316" s="4">
        <v>29162659.309999999</v>
      </c>
      <c r="L316" s="3">
        <v>946566.38</v>
      </c>
      <c r="M316" s="3">
        <v>1896690.46</v>
      </c>
      <c r="N316" s="3">
        <v>245270.26</v>
      </c>
      <c r="O316" s="34">
        <v>7187364.0199999996</v>
      </c>
      <c r="P316" s="34">
        <v>12625590.09</v>
      </c>
      <c r="Q316" s="34" t="s">
        <v>25</v>
      </c>
      <c r="R316" s="4">
        <v>2101865.44</v>
      </c>
      <c r="S316" s="3">
        <f>229389320.31+812125.83</f>
        <v>230201446.14000002</v>
      </c>
      <c r="T316" s="4">
        <v>9056410.6300000008</v>
      </c>
      <c r="U316" s="4">
        <v>51645.67</v>
      </c>
      <c r="V316" s="4">
        <f>33245.42+7.9</f>
        <v>33253.32</v>
      </c>
      <c r="W316" s="23">
        <v>17533</v>
      </c>
      <c r="X316" s="34"/>
      <c r="Y316" s="3">
        <v>452020333.63999999</v>
      </c>
    </row>
    <row r="317" spans="1:25" x14ac:dyDescent="0.3">
      <c r="A317" s="7">
        <v>34425</v>
      </c>
      <c r="B317" s="2">
        <f t="shared" si="4"/>
        <v>12509</v>
      </c>
      <c r="C317" s="3">
        <v>76080760.049999997</v>
      </c>
      <c r="D317" s="3">
        <v>113221398.2</v>
      </c>
      <c r="E317" s="3">
        <v>81572555.129999995</v>
      </c>
      <c r="F317" s="4">
        <v>9658020.4399999995</v>
      </c>
      <c r="G317" s="3">
        <v>43358569.939999998</v>
      </c>
      <c r="H317" s="4">
        <v>4348341.16</v>
      </c>
      <c r="I317" s="3">
        <v>5850974.2000000002</v>
      </c>
      <c r="J317" s="3">
        <v>1188426.3600000001</v>
      </c>
      <c r="K317" s="4">
        <v>31299333.460000001</v>
      </c>
      <c r="L317" s="3">
        <v>958409.22</v>
      </c>
      <c r="M317" s="3">
        <v>2089828.39</v>
      </c>
      <c r="N317" s="3">
        <v>273412.24</v>
      </c>
      <c r="O317" s="34">
        <v>10415472.439999999</v>
      </c>
      <c r="P317" s="34">
        <v>12863214.43</v>
      </c>
      <c r="Q317" s="34" t="s">
        <v>25</v>
      </c>
      <c r="R317" s="4">
        <v>2285071.11</v>
      </c>
      <c r="S317" s="3">
        <f>279839778.4+310747.65</f>
        <v>280150526.04999995</v>
      </c>
      <c r="T317" s="4">
        <v>8671881.5099999998</v>
      </c>
      <c r="U317" s="4">
        <v>53128.74</v>
      </c>
      <c r="V317" s="4">
        <v>26822.6</v>
      </c>
      <c r="W317" s="23">
        <v>2537.5</v>
      </c>
      <c r="X317" s="34"/>
      <c r="Y317" s="3">
        <v>684368683.16999996</v>
      </c>
    </row>
    <row r="318" spans="1:25" x14ac:dyDescent="0.3">
      <c r="A318" s="7">
        <v>34455</v>
      </c>
      <c r="B318" s="2">
        <f t="shared" si="4"/>
        <v>12539</v>
      </c>
      <c r="C318" s="3">
        <v>8449450.7799999993</v>
      </c>
      <c r="D318" s="3">
        <v>16553328.74</v>
      </c>
      <c r="E318" s="3">
        <v>798274.66</v>
      </c>
      <c r="F318" s="4">
        <v>1693433.26</v>
      </c>
      <c r="G318" s="3">
        <v>47074517.399999999</v>
      </c>
      <c r="H318" s="4">
        <v>4944394.68</v>
      </c>
      <c r="I318" s="3">
        <v>6804854.7599999998</v>
      </c>
      <c r="J318" s="3">
        <v>1082621.71</v>
      </c>
      <c r="K318" s="4">
        <v>18829827.920000002</v>
      </c>
      <c r="L318" s="3">
        <v>817713.71</v>
      </c>
      <c r="M318" s="3">
        <v>2186340.35</v>
      </c>
      <c r="N318" s="3">
        <v>100019.12</v>
      </c>
      <c r="O318" s="34">
        <v>13790416.76</v>
      </c>
      <c r="P318" s="34">
        <v>12908020.35</v>
      </c>
      <c r="Q318" s="34" t="s">
        <v>25</v>
      </c>
      <c r="R318" s="4">
        <v>2146214.2000000002</v>
      </c>
      <c r="S318" s="3">
        <f>264720230.07-584781.81</f>
        <v>264135448.25999999</v>
      </c>
      <c r="T318" s="4">
        <v>7960420.29</v>
      </c>
      <c r="U318" s="4">
        <v>49073.16</v>
      </c>
      <c r="V318" s="4">
        <v>21498.81</v>
      </c>
      <c r="W318" s="23">
        <v>350</v>
      </c>
      <c r="X318" s="34"/>
      <c r="Y318" s="3">
        <v>410346218.92000002</v>
      </c>
    </row>
    <row r="319" spans="1:25" x14ac:dyDescent="0.3">
      <c r="A319" s="7">
        <v>34486</v>
      </c>
      <c r="B319" s="2">
        <f t="shared" si="4"/>
        <v>12570</v>
      </c>
      <c r="C319" s="3">
        <v>11950792.25</v>
      </c>
      <c r="D319" s="3">
        <v>22659104.280000001</v>
      </c>
      <c r="E319" s="3">
        <v>570173.13</v>
      </c>
      <c r="F319" s="4">
        <v>5017685.8499999996</v>
      </c>
      <c r="G319" s="3">
        <v>48163195.799999997</v>
      </c>
      <c r="H319" s="4">
        <v>4892808.1100000003</v>
      </c>
      <c r="I319" s="3">
        <v>8670448.6500000004</v>
      </c>
      <c r="J319" s="3">
        <v>1240782.05</v>
      </c>
      <c r="K319" s="4">
        <v>16541254.83</v>
      </c>
      <c r="L319" s="3">
        <v>919015.85</v>
      </c>
      <c r="M319" s="3">
        <v>2148455.91</v>
      </c>
      <c r="N319" s="3">
        <v>10121439.17</v>
      </c>
      <c r="O319" s="34">
        <v>18044838.640000001</v>
      </c>
      <c r="P319" s="34">
        <v>12616752.779999999</v>
      </c>
      <c r="Q319" s="34" t="s">
        <v>25</v>
      </c>
      <c r="R319" s="4">
        <v>2402631.2599999998</v>
      </c>
      <c r="S319" s="3">
        <f>274668738.43-858993.57</f>
        <v>273809744.86000001</v>
      </c>
      <c r="T319" s="4">
        <v>8710258.8399999999</v>
      </c>
      <c r="U319" s="4">
        <v>51708.4</v>
      </c>
      <c r="V319" s="4">
        <v>33980</v>
      </c>
      <c r="W319" s="23">
        <v>-962.5</v>
      </c>
      <c r="X319" s="34"/>
      <c r="Y319" s="3">
        <v>448564108.16000003</v>
      </c>
    </row>
    <row r="320" spans="1:25" x14ac:dyDescent="0.3">
      <c r="A320" s="7">
        <v>34516</v>
      </c>
      <c r="B320" s="2">
        <f t="shared" si="4"/>
        <v>12600</v>
      </c>
      <c r="C320" s="3">
        <v>9124174.1099999994</v>
      </c>
      <c r="D320" s="3">
        <v>74017034.280000001</v>
      </c>
      <c r="E320" s="3">
        <v>578111.14</v>
      </c>
      <c r="F320" s="4">
        <v>2487788.44</v>
      </c>
      <c r="G320" s="3">
        <v>44720077.68</v>
      </c>
      <c r="H320" s="4">
        <v>4448905.13</v>
      </c>
      <c r="I320" s="3">
        <v>6351424.7599999998</v>
      </c>
      <c r="J320" s="3">
        <v>1323447.98</v>
      </c>
      <c r="K320" s="4">
        <v>10486800.57</v>
      </c>
      <c r="L320" s="3">
        <v>790279.6</v>
      </c>
      <c r="M320" s="3">
        <v>2013877.17</v>
      </c>
      <c r="N320" s="3">
        <v>587215.75</v>
      </c>
      <c r="O320" s="34">
        <v>11909065.65</v>
      </c>
      <c r="P320" s="34">
        <v>14884075.49</v>
      </c>
      <c r="Q320" s="34" t="s">
        <v>25</v>
      </c>
      <c r="R320" s="4">
        <v>2225431.91</v>
      </c>
      <c r="S320" s="3">
        <f>291829734.96-548356.56</f>
        <v>291281378.39999998</v>
      </c>
      <c r="T320" s="4">
        <v>10620426.470000001</v>
      </c>
      <c r="U320" s="4">
        <v>63096.36</v>
      </c>
      <c r="V320" s="4">
        <v>26968.11</v>
      </c>
      <c r="W320" s="23">
        <v>114450</v>
      </c>
      <c r="X320" s="34"/>
      <c r="Y320" s="3">
        <v>488054029</v>
      </c>
    </row>
    <row r="321" spans="1:25" x14ac:dyDescent="0.3">
      <c r="A321" s="7">
        <v>34547</v>
      </c>
      <c r="B321" s="2">
        <f t="shared" si="4"/>
        <v>12631</v>
      </c>
      <c r="C321" s="3">
        <v>9851051.3699999992</v>
      </c>
      <c r="D321" s="3">
        <v>13918580.24</v>
      </c>
      <c r="E321" s="3">
        <v>1396436.02</v>
      </c>
      <c r="F321" s="4">
        <v>3410933.95</v>
      </c>
      <c r="G321" s="3">
        <v>43642918.030000001</v>
      </c>
      <c r="H321" s="4">
        <v>4312280.51</v>
      </c>
      <c r="I321" s="3">
        <v>7619335.4199999999</v>
      </c>
      <c r="J321" s="3">
        <v>1249675.17</v>
      </c>
      <c r="K321" s="4">
        <v>10289399.34</v>
      </c>
      <c r="L321" s="3">
        <v>769089.24</v>
      </c>
      <c r="M321" s="3">
        <v>2080206.84</v>
      </c>
      <c r="N321" s="3">
        <v>146550.15</v>
      </c>
      <c r="O321" s="34">
        <v>8932354.0899999999</v>
      </c>
      <c r="P321" s="34">
        <v>24413711.829999998</v>
      </c>
      <c r="Q321" s="34" t="s">
        <v>25</v>
      </c>
      <c r="R321" s="4">
        <v>1982893.59</v>
      </c>
      <c r="S321" s="3">
        <f>282686501.28-309439.66</f>
        <v>282377061.61999995</v>
      </c>
      <c r="T321" s="4">
        <v>9435176.3800000008</v>
      </c>
      <c r="U321" s="4">
        <v>45380.1</v>
      </c>
      <c r="V321" s="4">
        <v>25412.34</v>
      </c>
      <c r="W321" s="23">
        <v>12250</v>
      </c>
      <c r="X321" s="34"/>
      <c r="Y321" s="3">
        <v>425910696.23000002</v>
      </c>
    </row>
    <row r="322" spans="1:25" x14ac:dyDescent="0.3">
      <c r="A322" s="7">
        <v>34578</v>
      </c>
      <c r="B322" s="2">
        <f t="shared" ref="B322:B385" si="5">A322-21916</f>
        <v>12662</v>
      </c>
      <c r="C322" s="3">
        <f>17814259.68+391.51</f>
        <v>17814651.190000001</v>
      </c>
      <c r="D322" s="3">
        <v>15719622.970000001</v>
      </c>
      <c r="E322" s="3">
        <v>228162.28</v>
      </c>
      <c r="F322" s="4">
        <v>2803245.88</v>
      </c>
      <c r="G322" s="3">
        <v>47683252.68</v>
      </c>
      <c r="H322" s="4">
        <v>4762775.12</v>
      </c>
      <c r="I322" s="3">
        <v>7020779.9699999997</v>
      </c>
      <c r="J322" s="3">
        <v>1289510.2</v>
      </c>
      <c r="K322" s="4">
        <v>9907415.6199999992</v>
      </c>
      <c r="L322" s="3">
        <v>890529.7</v>
      </c>
      <c r="M322" s="3">
        <v>1947065.77</v>
      </c>
      <c r="N322" s="3">
        <v>344548.61</v>
      </c>
      <c r="O322" s="34">
        <v>9132922.4499999993</v>
      </c>
      <c r="P322" s="34">
        <v>18057582.489999998</v>
      </c>
      <c r="Q322" s="34" t="s">
        <v>25</v>
      </c>
      <c r="R322" s="4">
        <v>2260855.2599999998</v>
      </c>
      <c r="S322" s="3">
        <f>290737995.22-128473.28</f>
        <v>290609521.94000006</v>
      </c>
      <c r="T322" s="4">
        <v>10603670.48</v>
      </c>
      <c r="U322" s="4">
        <v>51331.96</v>
      </c>
      <c r="V322" s="4">
        <v>26705</v>
      </c>
      <c r="W322" s="23">
        <v>-1750</v>
      </c>
      <c r="X322" s="34"/>
      <c r="Y322" s="3">
        <v>441152399.56999999</v>
      </c>
    </row>
    <row r="323" spans="1:25" x14ac:dyDescent="0.3">
      <c r="A323" s="7">
        <v>34608</v>
      </c>
      <c r="B323" s="2">
        <f t="shared" si="5"/>
        <v>12692</v>
      </c>
      <c r="C323" s="3">
        <f>23132373.03+13.28</f>
        <v>23132386.310000002</v>
      </c>
      <c r="D323" s="3">
        <v>53631544.439999998</v>
      </c>
      <c r="E323" s="3">
        <v>1292546.8400000001</v>
      </c>
      <c r="F323" s="4">
        <v>2955842.31</v>
      </c>
      <c r="G323" s="3">
        <v>43155254.799999997</v>
      </c>
      <c r="H323" s="4">
        <v>4638163.08</v>
      </c>
      <c r="I323" s="3">
        <v>7259024.6600000001</v>
      </c>
      <c r="J323" s="3">
        <v>1162823.8600000001</v>
      </c>
      <c r="K323" s="4">
        <v>8741164.6600000001</v>
      </c>
      <c r="L323" s="3">
        <v>754573.25</v>
      </c>
      <c r="M323" s="3">
        <v>1966413.07</v>
      </c>
      <c r="N323" s="3">
        <v>226037.12</v>
      </c>
      <c r="O323" s="34">
        <v>10595064.35</v>
      </c>
      <c r="P323" s="34">
        <v>13447633.85</v>
      </c>
      <c r="Q323" s="34" t="s">
        <v>25</v>
      </c>
      <c r="R323" s="4">
        <v>2225742.4500000002</v>
      </c>
      <c r="S323" s="3">
        <f>290398350.54-78990.92</f>
        <v>290319359.62</v>
      </c>
      <c r="T323" s="4">
        <v>9948572.2200000007</v>
      </c>
      <c r="U323" s="4">
        <v>47944.95</v>
      </c>
      <c r="V323" s="4">
        <v>23627.38</v>
      </c>
      <c r="W323" s="23">
        <v>0</v>
      </c>
      <c r="X323" s="34"/>
      <c r="Y323" s="3">
        <v>475523719.22000003</v>
      </c>
    </row>
    <row r="324" spans="1:25" x14ac:dyDescent="0.3">
      <c r="A324" s="7">
        <v>34639</v>
      </c>
      <c r="B324" s="2">
        <f t="shared" si="5"/>
        <v>12723</v>
      </c>
      <c r="C324" s="3">
        <v>7440928.4199999999</v>
      </c>
      <c r="D324" s="3">
        <v>14777670.83</v>
      </c>
      <c r="E324" s="3">
        <v>178479.88</v>
      </c>
      <c r="F324" s="4">
        <v>4602312.9800000004</v>
      </c>
      <c r="G324" s="3">
        <v>43481632.899999999</v>
      </c>
      <c r="H324" s="4">
        <v>3893860</v>
      </c>
      <c r="I324" s="3">
        <v>6698688.9000000004</v>
      </c>
      <c r="J324" s="3">
        <v>1059517.06</v>
      </c>
      <c r="K324" s="4">
        <v>8016261.2300000004</v>
      </c>
      <c r="L324" s="3">
        <v>772851.05</v>
      </c>
      <c r="M324" s="3">
        <v>2090575.22</v>
      </c>
      <c r="N324" s="3">
        <v>83012.12</v>
      </c>
      <c r="O324" s="34">
        <v>8518685.7899999991</v>
      </c>
      <c r="P324" s="34">
        <v>13766950.4</v>
      </c>
      <c r="Q324" s="34" t="s">
        <v>25</v>
      </c>
      <c r="R324" s="4">
        <v>2059480.94</v>
      </c>
      <c r="S324" s="3">
        <f>279830859.09-559153.92</f>
        <v>279271705.16999996</v>
      </c>
      <c r="T324" s="4">
        <v>10603399.66</v>
      </c>
      <c r="U324" s="4">
        <v>42354.85</v>
      </c>
      <c r="V324" s="4">
        <v>24582.83</v>
      </c>
      <c r="W324" s="23">
        <v>4180.78</v>
      </c>
      <c r="X324" s="34"/>
      <c r="Y324" s="3">
        <v>407387131.00999999</v>
      </c>
    </row>
    <row r="325" spans="1:25" x14ac:dyDescent="0.3">
      <c r="A325" s="7">
        <v>34669</v>
      </c>
      <c r="B325" s="2">
        <f t="shared" si="5"/>
        <v>12753</v>
      </c>
      <c r="C325" s="3">
        <v>16135393.35</v>
      </c>
      <c r="D325" s="3">
        <v>11359751.359999999</v>
      </c>
      <c r="E325" s="3">
        <v>2494498.2599999998</v>
      </c>
      <c r="F325" s="4">
        <v>2188028.2000000002</v>
      </c>
      <c r="G325" s="3">
        <v>43415581.310000002</v>
      </c>
      <c r="H325" s="4">
        <v>4530119.91</v>
      </c>
      <c r="I325" s="3">
        <v>7134379.0599999996</v>
      </c>
      <c r="J325" s="3">
        <v>1100326.48</v>
      </c>
      <c r="K325" s="4">
        <v>9317400.0899999999</v>
      </c>
      <c r="L325" s="3">
        <v>725521.92000000004</v>
      </c>
      <c r="M325" s="3">
        <v>2050985.64</v>
      </c>
      <c r="N325" s="3">
        <v>153702.79</v>
      </c>
      <c r="O325" s="34">
        <v>8166575.75</v>
      </c>
      <c r="P325" s="34">
        <v>12965480.51</v>
      </c>
      <c r="Q325" s="34" t="s">
        <v>25</v>
      </c>
      <c r="R325" s="4">
        <v>2632616.8199999998</v>
      </c>
      <c r="S325" s="3">
        <f>282081137.94-99743.64</f>
        <v>281981394.30000001</v>
      </c>
      <c r="T325" s="4">
        <v>9696564.2400000002</v>
      </c>
      <c r="U325" s="4">
        <v>41505.07</v>
      </c>
      <c r="V325" s="4">
        <v>24735.02</v>
      </c>
      <c r="W325" s="23">
        <v>8925</v>
      </c>
      <c r="X325" s="34"/>
      <c r="Y325" s="3">
        <v>416123485.07999998</v>
      </c>
    </row>
    <row r="326" spans="1:25" x14ac:dyDescent="0.3">
      <c r="A326" s="7">
        <v>34700</v>
      </c>
      <c r="B326" s="2">
        <f t="shared" si="5"/>
        <v>12784</v>
      </c>
      <c r="C326" s="3">
        <v>11475496.199999999</v>
      </c>
      <c r="D326" s="3">
        <v>68358959.840000004</v>
      </c>
      <c r="E326" s="3">
        <v>2862134.62</v>
      </c>
      <c r="F326" s="4">
        <v>7595481.9199999999</v>
      </c>
      <c r="G326" s="3">
        <v>45402421.899999999</v>
      </c>
      <c r="H326" s="4">
        <v>4585679.99</v>
      </c>
      <c r="I326" s="3">
        <v>6841064.6200000001</v>
      </c>
      <c r="J326" s="3">
        <v>1013220.62</v>
      </c>
      <c r="K326" s="4">
        <v>9556749.1300000008</v>
      </c>
      <c r="L326" s="3">
        <v>855540.44</v>
      </c>
      <c r="M326" s="3">
        <v>2260508.7000000002</v>
      </c>
      <c r="N326" s="3">
        <v>118898.83</v>
      </c>
      <c r="O326" s="34">
        <v>11038608.85</v>
      </c>
      <c r="P326" s="34">
        <v>13193813.33</v>
      </c>
      <c r="Q326" s="34" t="s">
        <v>25</v>
      </c>
      <c r="R326" s="4">
        <v>3370295.28</v>
      </c>
      <c r="S326" s="3">
        <f>349857175.03-267113.48</f>
        <v>349590061.54999995</v>
      </c>
      <c r="T326" s="4">
        <v>10382741.199999999</v>
      </c>
      <c r="U326" s="4">
        <v>62945.279999999999</v>
      </c>
      <c r="V326" s="4">
        <v>22884.51</v>
      </c>
      <c r="W326" s="23">
        <v>8050</v>
      </c>
      <c r="X326" s="34"/>
      <c r="Y326" s="3">
        <v>548595556.80999994</v>
      </c>
    </row>
    <row r="327" spans="1:25" x14ac:dyDescent="0.3">
      <c r="A327" s="7">
        <v>34731</v>
      </c>
      <c r="B327" s="2">
        <f t="shared" si="5"/>
        <v>12815</v>
      </c>
      <c r="C327" s="3">
        <v>8738898.5199999996</v>
      </c>
      <c r="D327" s="3">
        <v>12715622.560000001</v>
      </c>
      <c r="E327" s="3">
        <v>1463276.78</v>
      </c>
      <c r="F327" s="4">
        <v>2185000.4500000002</v>
      </c>
      <c r="G327" s="3">
        <v>46741764.590000004</v>
      </c>
      <c r="H327" s="4">
        <v>4602921.13</v>
      </c>
      <c r="I327" s="3">
        <v>4634136.8499999996</v>
      </c>
      <c r="J327" s="3">
        <v>1088632.3999999999</v>
      </c>
      <c r="K327" s="4">
        <v>12917621.039999999</v>
      </c>
      <c r="L327" s="3">
        <v>677879.55</v>
      </c>
      <c r="M327" s="3">
        <v>1868877.4</v>
      </c>
      <c r="N327" s="3">
        <v>77308.679999999993</v>
      </c>
      <c r="O327" s="34">
        <v>7312466.04</v>
      </c>
      <c r="P327" s="34">
        <v>13763488.949999999</v>
      </c>
      <c r="Q327" s="34" t="s">
        <v>25</v>
      </c>
      <c r="R327" s="4">
        <v>1749108.99</v>
      </c>
      <c r="S327" s="3">
        <f>245277635.51-11344.87</f>
        <v>245266290.63999999</v>
      </c>
      <c r="T327" s="4">
        <v>9121448.0800000001</v>
      </c>
      <c r="U327" s="4">
        <v>48296.43</v>
      </c>
      <c r="V327" s="4">
        <v>24932.21</v>
      </c>
      <c r="W327" s="23">
        <v>350</v>
      </c>
      <c r="X327" s="34"/>
      <c r="Y327" s="3">
        <v>374998321.29000002</v>
      </c>
    </row>
    <row r="328" spans="1:25" x14ac:dyDescent="0.3">
      <c r="A328" s="7">
        <v>34759</v>
      </c>
      <c r="B328" s="2">
        <f t="shared" si="5"/>
        <v>12843</v>
      </c>
      <c r="C328" s="3">
        <v>78547230.599999994</v>
      </c>
      <c r="D328" s="3">
        <v>51894792.219999999</v>
      </c>
      <c r="E328" s="3">
        <v>6833976.04</v>
      </c>
      <c r="F328" s="4">
        <v>2281077.41</v>
      </c>
      <c r="G328" s="3">
        <v>33588141.350000001</v>
      </c>
      <c r="H328" s="4">
        <v>4913425.25</v>
      </c>
      <c r="I328" s="3">
        <v>8134307.7699999996</v>
      </c>
      <c r="J328" s="3">
        <v>1050592.48</v>
      </c>
      <c r="K328" s="4">
        <v>28237396.109999999</v>
      </c>
      <c r="L328" s="3">
        <v>934132.98</v>
      </c>
      <c r="M328" s="3">
        <v>1926039.8</v>
      </c>
      <c r="N328" s="3">
        <v>331597.01</v>
      </c>
      <c r="O328" s="34">
        <v>7224934.9000000004</v>
      </c>
      <c r="P328" s="34">
        <v>13104234.550000001</v>
      </c>
      <c r="Q328" s="34" t="s">
        <v>25</v>
      </c>
      <c r="R328" s="4">
        <v>2125283.62</v>
      </c>
      <c r="S328" s="3">
        <f>249613796.51-221480.14</f>
        <v>249392316.37</v>
      </c>
      <c r="T328" s="4">
        <v>10125492.710000001</v>
      </c>
      <c r="U328" s="4">
        <v>45702.95</v>
      </c>
      <c r="V328" s="4">
        <v>23108.92</v>
      </c>
      <c r="W328" s="23">
        <v>2414</v>
      </c>
      <c r="X328" s="34"/>
      <c r="Y328" s="3">
        <v>500716197.04000002</v>
      </c>
    </row>
    <row r="329" spans="1:25" x14ac:dyDescent="0.3">
      <c r="A329" s="7">
        <v>34790</v>
      </c>
      <c r="B329" s="2">
        <f t="shared" si="5"/>
        <v>12874</v>
      </c>
      <c r="C329" s="3">
        <v>72778924.480000004</v>
      </c>
      <c r="D329" s="3">
        <v>133787532.95</v>
      </c>
      <c r="E329" s="3">
        <v>82908418.810000002</v>
      </c>
      <c r="F329" s="4">
        <v>9313559.2699999996</v>
      </c>
      <c r="G329" s="3">
        <v>40394339.780000001</v>
      </c>
      <c r="H329" s="4">
        <v>4597325.71</v>
      </c>
      <c r="I329" s="3">
        <v>6201848.5</v>
      </c>
      <c r="J329" s="3">
        <v>1243841.73</v>
      </c>
      <c r="K329" s="4">
        <v>31325949.02</v>
      </c>
      <c r="L329" s="3">
        <v>872255.51</v>
      </c>
      <c r="M329" s="3">
        <v>2084462.4</v>
      </c>
      <c r="N329" s="3">
        <v>187464.78</v>
      </c>
      <c r="O329" s="34">
        <v>10676838.49</v>
      </c>
      <c r="P329" s="34">
        <v>13166823.99</v>
      </c>
      <c r="Q329" s="34" t="s">
        <v>25</v>
      </c>
      <c r="R329" s="4">
        <v>2235490.6800000002</v>
      </c>
      <c r="S329" s="3">
        <f>300123110.48-110763.55</f>
        <v>300012346.93000001</v>
      </c>
      <c r="T329" s="4">
        <v>10504195.529999999</v>
      </c>
      <c r="U329" s="4">
        <v>54041.06</v>
      </c>
      <c r="V329" s="4">
        <v>24353.21</v>
      </c>
      <c r="W329" s="23">
        <v>262.5</v>
      </c>
      <c r="X329" s="34"/>
      <c r="Y329" s="3">
        <v>722370275.33000004</v>
      </c>
    </row>
    <row r="330" spans="1:25" x14ac:dyDescent="0.3">
      <c r="A330" s="7">
        <v>34820</v>
      </c>
      <c r="B330" s="2">
        <f t="shared" si="5"/>
        <v>12904</v>
      </c>
      <c r="C330" s="3">
        <v>14458322.57</v>
      </c>
      <c r="D330" s="3">
        <v>15139172.1</v>
      </c>
      <c r="E330" s="3">
        <v>798208.1</v>
      </c>
      <c r="F330" s="4">
        <v>1924125.18</v>
      </c>
      <c r="G330" s="3">
        <v>46756621.850000001</v>
      </c>
      <c r="H330" s="4">
        <v>4545835.1900000004</v>
      </c>
      <c r="I330" s="3">
        <v>9022881.9100000001</v>
      </c>
      <c r="J330" s="3">
        <v>1198025.8899999999</v>
      </c>
      <c r="K330" s="4">
        <v>19913185.100000001</v>
      </c>
      <c r="L330" s="3">
        <v>881959.5</v>
      </c>
      <c r="M330" s="3">
        <v>1952743.22</v>
      </c>
      <c r="N330" s="3">
        <v>166257.4</v>
      </c>
      <c r="O330" s="34">
        <v>16224760.689999999</v>
      </c>
      <c r="P330" s="34">
        <v>13830806.619999999</v>
      </c>
      <c r="Q330" s="34" t="s">
        <v>25</v>
      </c>
      <c r="R330" s="4">
        <v>2128702.5099999998</v>
      </c>
      <c r="S330" s="3">
        <f>293296600.41-485909.09</f>
        <v>292810691.32000005</v>
      </c>
      <c r="T330" s="4">
        <v>10542668.109999999</v>
      </c>
      <c r="U330" s="4">
        <v>48250.97</v>
      </c>
      <c r="V330" s="4">
        <v>22069.01</v>
      </c>
      <c r="W330" s="23">
        <v>437.5</v>
      </c>
      <c r="X330" s="34"/>
      <c r="Y330" s="3">
        <v>452365724.74000001</v>
      </c>
    </row>
    <row r="331" spans="1:25" x14ac:dyDescent="0.3">
      <c r="A331" s="7">
        <v>34851</v>
      </c>
      <c r="B331" s="2">
        <f t="shared" si="5"/>
        <v>12935</v>
      </c>
      <c r="C331" s="3">
        <v>9160849.8000000007</v>
      </c>
      <c r="D331" s="3">
        <v>27751975.82</v>
      </c>
      <c r="E331" s="3">
        <v>476259.4</v>
      </c>
      <c r="F331" s="4">
        <v>2734327.58</v>
      </c>
      <c r="G331" s="3">
        <v>49323257.18</v>
      </c>
      <c r="H331" s="4">
        <v>5008150.5999999996</v>
      </c>
      <c r="I331" s="3">
        <v>7931972.6299999999</v>
      </c>
      <c r="J331" s="3">
        <v>1359073.27</v>
      </c>
      <c r="K331" s="4">
        <v>19374917.129999999</v>
      </c>
      <c r="L331" s="3">
        <v>962313.45</v>
      </c>
      <c r="M331" s="3">
        <v>2074977.41</v>
      </c>
      <c r="N331" s="3">
        <v>11901445.970000001</v>
      </c>
      <c r="O331" s="34">
        <v>14724541.880000001</v>
      </c>
      <c r="P331" s="34">
        <v>13113656.66</v>
      </c>
      <c r="Q331" s="34" t="s">
        <v>25</v>
      </c>
      <c r="R331" s="4">
        <v>2444833.8199999998</v>
      </c>
      <c r="S331" s="3">
        <f>296016879.27+944739.92</f>
        <v>296961619.19</v>
      </c>
      <c r="T331" s="4">
        <v>10459330.24</v>
      </c>
      <c r="U331" s="4">
        <v>55684.84</v>
      </c>
      <c r="V331" s="4">
        <v>26735.51</v>
      </c>
      <c r="W331" s="23">
        <v>0</v>
      </c>
      <c r="X331" s="34"/>
      <c r="Y331" s="3">
        <v>475845922.38</v>
      </c>
    </row>
    <row r="332" spans="1:25" x14ac:dyDescent="0.3">
      <c r="A332" s="7">
        <v>34881</v>
      </c>
      <c r="B332" s="2">
        <f t="shared" si="5"/>
        <v>12965</v>
      </c>
      <c r="C332" s="3">
        <v>7500371.4900000002</v>
      </c>
      <c r="D332" s="3">
        <v>80927680.939999998</v>
      </c>
      <c r="E332" s="3">
        <v>351533.14</v>
      </c>
      <c r="F332" s="4">
        <v>3961180.76</v>
      </c>
      <c r="G332" s="3">
        <v>44742201.409999996</v>
      </c>
      <c r="H332" s="4">
        <v>4379762.99</v>
      </c>
      <c r="I332" s="3">
        <v>6661924.8700000001</v>
      </c>
      <c r="J332" s="3">
        <v>1356570.9</v>
      </c>
      <c r="K332" s="4">
        <v>11927553.890000001</v>
      </c>
      <c r="L332" s="3">
        <v>818290.25</v>
      </c>
      <c r="M332" s="3">
        <v>2191679.62</v>
      </c>
      <c r="N332" s="3">
        <v>458641.76</v>
      </c>
      <c r="O332" s="34">
        <v>11297346.77</v>
      </c>
      <c r="P332" s="34">
        <v>17742688.719999999</v>
      </c>
      <c r="Q332" s="34" t="s">
        <v>25</v>
      </c>
      <c r="R332" s="4">
        <v>2311280.21</v>
      </c>
      <c r="S332" s="3">
        <f>318363050.66+74918.21</f>
        <v>318437968.87</v>
      </c>
      <c r="T332" s="4">
        <v>10792791.640000001</v>
      </c>
      <c r="U332" s="4">
        <v>50830.22</v>
      </c>
      <c r="V332" s="4">
        <v>16985.400000000001</v>
      </c>
      <c r="W332" s="23">
        <v>107450</v>
      </c>
      <c r="X332" s="34"/>
      <c r="Y332" s="3">
        <v>526034733.85000002</v>
      </c>
    </row>
    <row r="333" spans="1:25" x14ac:dyDescent="0.3">
      <c r="A333" s="7">
        <v>34912</v>
      </c>
      <c r="B333" s="2">
        <f t="shared" si="5"/>
        <v>12996</v>
      </c>
      <c r="C333" s="3">
        <v>6334960.3600000003</v>
      </c>
      <c r="D333" s="3">
        <v>19132209.670000002</v>
      </c>
      <c r="E333" s="3">
        <v>1397778.04</v>
      </c>
      <c r="F333" s="4">
        <v>13120963.08</v>
      </c>
      <c r="G333" s="3">
        <v>47617375.299999997</v>
      </c>
      <c r="H333" s="4">
        <v>4824984.9800000004</v>
      </c>
      <c r="I333" s="3">
        <v>7674281.71</v>
      </c>
      <c r="J333" s="3">
        <v>1164067.32</v>
      </c>
      <c r="K333" s="4">
        <v>9876649.6099999994</v>
      </c>
      <c r="L333" s="3">
        <v>916037.81</v>
      </c>
      <c r="M333" s="3">
        <v>2116184.31</v>
      </c>
      <c r="N333" s="3">
        <v>214448.59</v>
      </c>
      <c r="O333" s="34">
        <v>9596663.9900000002</v>
      </c>
      <c r="P333" s="34">
        <v>23903967.140000001</v>
      </c>
      <c r="Q333" s="34" t="s">
        <v>25</v>
      </c>
      <c r="R333" s="4">
        <v>1960204.75</v>
      </c>
      <c r="S333" s="3">
        <f>299355106.81+462235.88</f>
        <v>299817342.69</v>
      </c>
      <c r="T333" s="4">
        <v>10044364.199999999</v>
      </c>
      <c r="U333" s="4">
        <v>43382.41</v>
      </c>
      <c r="V333" s="4">
        <v>20723.16</v>
      </c>
      <c r="W333" s="23">
        <v>5107.5600000000004</v>
      </c>
      <c r="X333" s="34"/>
      <c r="Y333" s="3">
        <v>459781696.68000001</v>
      </c>
    </row>
    <row r="334" spans="1:25" x14ac:dyDescent="0.3">
      <c r="A334" s="7">
        <v>34943</v>
      </c>
      <c r="B334" s="2">
        <f t="shared" si="5"/>
        <v>13027</v>
      </c>
      <c r="C334" s="3">
        <v>22292823.02</v>
      </c>
      <c r="D334" s="3">
        <v>13226864.859999999</v>
      </c>
      <c r="E334" s="3">
        <v>216680.82</v>
      </c>
      <c r="F334" s="4">
        <v>5573742.0899999999</v>
      </c>
      <c r="G334" s="3">
        <v>48446935.979999997</v>
      </c>
      <c r="H334" s="4">
        <v>4759035.83</v>
      </c>
      <c r="I334" s="3">
        <v>7430536.4699999997</v>
      </c>
      <c r="J334" s="3">
        <v>1380985.96</v>
      </c>
      <c r="K334" s="4">
        <v>9659416.3399999999</v>
      </c>
      <c r="L334" s="3">
        <v>873666.33</v>
      </c>
      <c r="M334" s="3">
        <v>2217946.71</v>
      </c>
      <c r="N334" s="3">
        <v>258835.77</v>
      </c>
      <c r="O334" s="34">
        <v>10933438.289999999</v>
      </c>
      <c r="P334" s="34">
        <v>13315804.380000001</v>
      </c>
      <c r="Q334" s="34" t="s">
        <v>25</v>
      </c>
      <c r="R334" s="4">
        <v>2288176.96</v>
      </c>
      <c r="S334" s="3">
        <f>311956689.82-41019.57</f>
        <v>311915670.25</v>
      </c>
      <c r="T334" s="4">
        <v>10965465.41</v>
      </c>
      <c r="U334" s="4">
        <v>58570.95</v>
      </c>
      <c r="V334" s="4">
        <v>19427.490000000002</v>
      </c>
      <c r="W334" s="23">
        <v>350</v>
      </c>
      <c r="X334" s="34"/>
      <c r="Y334" s="3">
        <v>465834373.91000003</v>
      </c>
    </row>
    <row r="335" spans="1:25" x14ac:dyDescent="0.3">
      <c r="A335" s="7">
        <v>34973</v>
      </c>
      <c r="B335" s="2">
        <f t="shared" si="5"/>
        <v>13057</v>
      </c>
      <c r="C335" s="3">
        <f>19631791.8+22.94</f>
        <v>19631814.740000002</v>
      </c>
      <c r="D335" s="3">
        <v>76544521.950000003</v>
      </c>
      <c r="E335" s="3">
        <v>1645036.41</v>
      </c>
      <c r="F335" s="4">
        <v>3275678.94</v>
      </c>
      <c r="G335" s="3">
        <v>43350210.289999999</v>
      </c>
      <c r="H335" s="4">
        <v>4445761.53</v>
      </c>
      <c r="I335" s="3">
        <v>6913428.2999999998</v>
      </c>
      <c r="J335" s="3">
        <v>1154291.97</v>
      </c>
      <c r="K335" s="4">
        <v>10381342.68</v>
      </c>
      <c r="L335" s="3">
        <v>842780.05</v>
      </c>
      <c r="M335" s="3">
        <v>2132736.46</v>
      </c>
      <c r="N335" s="3">
        <v>246162.64</v>
      </c>
      <c r="O335" s="34">
        <v>11259713.390000001</v>
      </c>
      <c r="P335" s="34">
        <v>13228926.640000001</v>
      </c>
      <c r="Q335" s="34" t="s">
        <v>25</v>
      </c>
      <c r="R335" s="4">
        <v>2136885.06</v>
      </c>
      <c r="S335" s="3">
        <f>313151808.35+2615.89</f>
        <v>313154424.24000001</v>
      </c>
      <c r="T335" s="4">
        <v>10111549.550000001</v>
      </c>
      <c r="U335" s="4">
        <v>51525.72</v>
      </c>
      <c r="V335" s="4">
        <v>20282.3</v>
      </c>
      <c r="W335" s="23">
        <v>0</v>
      </c>
      <c r="X335" s="34"/>
      <c r="Y335" s="3">
        <v>520527072.86000001</v>
      </c>
    </row>
    <row r="336" spans="1:25" x14ac:dyDescent="0.3">
      <c r="A336" s="7">
        <v>35004</v>
      </c>
      <c r="B336" s="2">
        <f t="shared" si="5"/>
        <v>13088</v>
      </c>
      <c r="C336" s="3">
        <v>9048615.9199999999</v>
      </c>
      <c r="D336" s="3">
        <v>8618417.2200000007</v>
      </c>
      <c r="E336" s="3">
        <v>99369.07</v>
      </c>
      <c r="F336" s="4">
        <v>8118507.0899999999</v>
      </c>
      <c r="G336" s="3">
        <v>41606545.979999997</v>
      </c>
      <c r="H336" s="4">
        <v>4559133.8499999996</v>
      </c>
      <c r="I336" s="3">
        <v>7717035.4500000002</v>
      </c>
      <c r="J336" s="3">
        <v>1185954.52</v>
      </c>
      <c r="K336" s="4">
        <v>8094448.29</v>
      </c>
      <c r="L336" s="3">
        <v>693261.88</v>
      </c>
      <c r="M336" s="3">
        <v>2044568.72</v>
      </c>
      <c r="N336" s="3">
        <v>115223.69</v>
      </c>
      <c r="O336" s="34">
        <v>9543338.1300000008</v>
      </c>
      <c r="P336" s="34">
        <v>13965728.460000001</v>
      </c>
      <c r="Q336" s="34" t="s">
        <v>25</v>
      </c>
      <c r="R336" s="4">
        <v>2319671.62</v>
      </c>
      <c r="S336" s="3">
        <v>290115923.20999998</v>
      </c>
      <c r="T336" s="4">
        <v>11260475.6</v>
      </c>
      <c r="U336" s="4">
        <v>52960.85</v>
      </c>
      <c r="V336" s="4">
        <v>19560.43</v>
      </c>
      <c r="W336" s="23">
        <v>0</v>
      </c>
      <c r="X336" s="34"/>
      <c r="Y336" s="3">
        <v>419178739.98000002</v>
      </c>
    </row>
    <row r="337" spans="1:25" x14ac:dyDescent="0.3">
      <c r="A337" s="7">
        <v>35034</v>
      </c>
      <c r="B337" s="2">
        <f t="shared" si="5"/>
        <v>13118</v>
      </c>
      <c r="C337" s="3">
        <v>13435625.279999999</v>
      </c>
      <c r="D337" s="3">
        <v>21280761.260000002</v>
      </c>
      <c r="E337" s="3">
        <v>1980570.04</v>
      </c>
      <c r="F337" s="4">
        <v>4255726.12</v>
      </c>
      <c r="G337" s="3">
        <v>48235348.939999998</v>
      </c>
      <c r="H337" s="4">
        <v>5203673.43</v>
      </c>
      <c r="I337" s="3">
        <v>6139056.7699999996</v>
      </c>
      <c r="J337" s="3">
        <v>1058171.3400000001</v>
      </c>
      <c r="K337" s="4">
        <v>8880509.0500000007</v>
      </c>
      <c r="L337" s="3">
        <v>689842.2</v>
      </c>
      <c r="M337" s="3">
        <v>1855608.05</v>
      </c>
      <c r="N337" s="3">
        <v>159201.63</v>
      </c>
      <c r="O337" s="34">
        <v>8626101.2799999993</v>
      </c>
      <c r="P337" s="34">
        <v>13093048.02</v>
      </c>
      <c r="Q337" s="34" t="s">
        <v>25</v>
      </c>
      <c r="R337" s="4">
        <v>2780463.42</v>
      </c>
      <c r="S337" s="3">
        <v>294287584.07999998</v>
      </c>
      <c r="T337" s="4">
        <v>10525575.98</v>
      </c>
      <c r="U337" s="4">
        <v>45724.29</v>
      </c>
      <c r="V337" s="4">
        <v>23121.87</v>
      </c>
      <c r="W337" s="23">
        <v>0</v>
      </c>
      <c r="X337" s="34"/>
      <c r="Y337" s="3">
        <v>442555713.05000001</v>
      </c>
    </row>
    <row r="338" spans="1:25" x14ac:dyDescent="0.3">
      <c r="A338" s="7">
        <v>35065</v>
      </c>
      <c r="B338" s="2">
        <f t="shared" si="5"/>
        <v>13149</v>
      </c>
      <c r="C338" s="3">
        <v>8418324.5899999999</v>
      </c>
      <c r="D338" s="3">
        <v>71748296.069999993</v>
      </c>
      <c r="E338" s="3">
        <v>3695771.14</v>
      </c>
      <c r="F338" s="4">
        <v>2951364.46</v>
      </c>
      <c r="G338" s="3">
        <v>44110111.189999998</v>
      </c>
      <c r="H338" s="4">
        <v>4455197.0999999996</v>
      </c>
      <c r="I338" s="3">
        <v>6786583.71</v>
      </c>
      <c r="J338" s="3">
        <v>914782.87</v>
      </c>
      <c r="K338" s="4">
        <v>9470478.9800000004</v>
      </c>
      <c r="L338" s="3">
        <v>831674.1</v>
      </c>
      <c r="M338" s="3">
        <v>2554057.2400000002</v>
      </c>
      <c r="N338" s="3">
        <v>124247.4</v>
      </c>
      <c r="O338" s="34">
        <v>11259900.82</v>
      </c>
      <c r="P338" s="34">
        <v>13108723.65</v>
      </c>
      <c r="Q338" s="34" t="s">
        <v>25</v>
      </c>
      <c r="R338" s="4">
        <v>3323545.49</v>
      </c>
      <c r="S338" s="3">
        <v>369848198.38999999</v>
      </c>
      <c r="T338" s="4">
        <v>9598643.1799999997</v>
      </c>
      <c r="U338" s="4">
        <v>68010.03</v>
      </c>
      <c r="V338" s="4">
        <v>23799.38</v>
      </c>
      <c r="W338" s="23">
        <v>350</v>
      </c>
      <c r="X338" s="34"/>
      <c r="Y338" s="3">
        <v>563292059.78999996</v>
      </c>
    </row>
    <row r="339" spans="1:25" x14ac:dyDescent="0.3">
      <c r="A339" s="7">
        <v>35096</v>
      </c>
      <c r="B339" s="2">
        <f t="shared" si="5"/>
        <v>13180</v>
      </c>
      <c r="C339" s="3">
        <v>10238386.699999999</v>
      </c>
      <c r="D339" s="3">
        <v>12652342.949999999</v>
      </c>
      <c r="E339" s="3">
        <v>1452567.72</v>
      </c>
      <c r="F339" s="4">
        <v>4108253.75</v>
      </c>
      <c r="G339" s="3">
        <v>44292753.740000002</v>
      </c>
      <c r="H339" s="4">
        <v>4219722.58</v>
      </c>
      <c r="I339" s="3">
        <v>6238997.8899999997</v>
      </c>
      <c r="J339" s="3">
        <v>1026837.16</v>
      </c>
      <c r="K339" s="4">
        <v>12937214.43</v>
      </c>
      <c r="L339" s="3">
        <v>698691.88</v>
      </c>
      <c r="M339" s="3">
        <v>1787929.66</v>
      </c>
      <c r="N339" s="3">
        <v>119073.28</v>
      </c>
      <c r="O339" s="34">
        <v>9020261.3200000003</v>
      </c>
      <c r="P339" s="34">
        <v>13797190.08</v>
      </c>
      <c r="Q339" s="34" t="s">
        <v>25</v>
      </c>
      <c r="R339" s="4">
        <v>1874100.72</v>
      </c>
      <c r="S339" s="3">
        <v>258166376.38999999</v>
      </c>
      <c r="T339" s="4">
        <v>9941981.5</v>
      </c>
      <c r="U339" s="4">
        <v>54088.89</v>
      </c>
      <c r="V339" s="4">
        <v>27540.59</v>
      </c>
      <c r="W339" s="23">
        <v>0</v>
      </c>
      <c r="X339" s="34"/>
      <c r="Y339" s="3">
        <v>392654311.23000002</v>
      </c>
    </row>
    <row r="340" spans="1:25" x14ac:dyDescent="0.3">
      <c r="A340" s="7">
        <v>35125</v>
      </c>
      <c r="B340" s="2">
        <f t="shared" si="5"/>
        <v>13209</v>
      </c>
      <c r="C340" s="3">
        <v>60502000.75</v>
      </c>
      <c r="D340" s="3">
        <v>41578111.799999997</v>
      </c>
      <c r="E340" s="3">
        <v>5979197.9000000004</v>
      </c>
      <c r="F340" s="4">
        <v>5420945.4299999997</v>
      </c>
      <c r="G340" s="3">
        <v>35720252.119999997</v>
      </c>
      <c r="H340" s="4">
        <v>3733030.3</v>
      </c>
      <c r="I340" s="3">
        <v>6837190.2800000003</v>
      </c>
      <c r="J340" s="3">
        <v>1059618.8799999999</v>
      </c>
      <c r="K340" s="4">
        <v>27118171.77</v>
      </c>
      <c r="L340" s="3">
        <v>940353.86</v>
      </c>
      <c r="M340" s="3">
        <v>1816631.45</v>
      </c>
      <c r="N340" s="3">
        <v>336702.19</v>
      </c>
      <c r="O340" s="34">
        <v>7488980.5300000003</v>
      </c>
      <c r="P340" s="34">
        <v>13113091.1</v>
      </c>
      <c r="Q340" s="34" t="s">
        <v>25</v>
      </c>
      <c r="R340" s="4">
        <v>2286188.91</v>
      </c>
      <c r="S340" s="3">
        <v>264434456.19999999</v>
      </c>
      <c r="T340" s="4">
        <v>9995659.6999999993</v>
      </c>
      <c r="U340" s="4">
        <v>51571.25</v>
      </c>
      <c r="V340" s="4">
        <v>30938.3</v>
      </c>
      <c r="W340" s="23">
        <v>875</v>
      </c>
      <c r="X340" s="34"/>
      <c r="Y340" s="3">
        <v>488443967.72000003</v>
      </c>
    </row>
    <row r="341" spans="1:25" x14ac:dyDescent="0.3">
      <c r="A341" s="7">
        <v>35156</v>
      </c>
      <c r="B341" s="2">
        <f t="shared" si="5"/>
        <v>13240</v>
      </c>
      <c r="C341" s="3">
        <v>96770670.450000003</v>
      </c>
      <c r="D341" s="3">
        <v>143505353.08000001</v>
      </c>
      <c r="E341" s="3">
        <v>96367709.239999995</v>
      </c>
      <c r="F341" s="4">
        <v>10852739.6</v>
      </c>
      <c r="G341" s="3">
        <v>44962078.990000002</v>
      </c>
      <c r="H341" s="4">
        <v>4576230.41</v>
      </c>
      <c r="I341" s="3">
        <v>7046808.0800000001</v>
      </c>
      <c r="J341" s="3">
        <v>1219099.06</v>
      </c>
      <c r="K341" s="4">
        <v>37534665.950000003</v>
      </c>
      <c r="L341" s="3">
        <v>1018101.68</v>
      </c>
      <c r="M341" s="3">
        <v>2264950.86</v>
      </c>
      <c r="N341" s="3">
        <v>189564.08</v>
      </c>
      <c r="O341" s="34">
        <v>11729639.699999999</v>
      </c>
      <c r="P341" s="34">
        <v>13466474.779999999</v>
      </c>
      <c r="Q341" s="34" t="s">
        <v>25</v>
      </c>
      <c r="R341" s="4">
        <v>2288317.4300000002</v>
      </c>
      <c r="S341" s="3">
        <v>309802035.12</v>
      </c>
      <c r="T341" s="4">
        <v>11223750.42</v>
      </c>
      <c r="U341" s="4">
        <v>52792.68</v>
      </c>
      <c r="V341" s="4">
        <v>29674.89</v>
      </c>
      <c r="W341" s="23">
        <v>87.5</v>
      </c>
      <c r="X341" s="34"/>
      <c r="Y341" s="3">
        <v>794900744</v>
      </c>
    </row>
    <row r="342" spans="1:25" x14ac:dyDescent="0.3">
      <c r="A342" s="7">
        <v>35186</v>
      </c>
      <c r="B342" s="2">
        <f t="shared" si="5"/>
        <v>13270</v>
      </c>
      <c r="C342" s="3">
        <v>7896894.0999999996</v>
      </c>
      <c r="D342" s="3">
        <v>16058671.050000001</v>
      </c>
      <c r="E342" s="3">
        <v>647655.62</v>
      </c>
      <c r="F342" s="4">
        <v>4430662.8600000003</v>
      </c>
      <c r="G342" s="3">
        <v>44504968.649999999</v>
      </c>
      <c r="H342" s="4">
        <v>4849374.41</v>
      </c>
      <c r="I342" s="3">
        <v>8041306.8300000001</v>
      </c>
      <c r="J342" s="3">
        <v>1322590.1599999999</v>
      </c>
      <c r="K342" s="4">
        <v>20164169.100000001</v>
      </c>
      <c r="L342" s="3">
        <v>963762.56</v>
      </c>
      <c r="M342" s="3">
        <v>2040807.19</v>
      </c>
      <c r="N342" s="3">
        <v>226752.44</v>
      </c>
      <c r="O342" s="34">
        <v>16549132.99</v>
      </c>
      <c r="P342" s="34">
        <v>13856781.9</v>
      </c>
      <c r="Q342" s="34" t="s">
        <v>25</v>
      </c>
      <c r="R342" s="4">
        <v>2393217.66</v>
      </c>
      <c r="S342" s="3">
        <v>309668114.31</v>
      </c>
      <c r="T342" s="4">
        <v>11025723.380000001</v>
      </c>
      <c r="U342" s="4">
        <v>88554.33</v>
      </c>
      <c r="V342" s="4">
        <v>34879.24</v>
      </c>
      <c r="W342" s="23">
        <v>3850</v>
      </c>
      <c r="X342" s="34"/>
      <c r="Y342" s="3">
        <v>464767868.77999997</v>
      </c>
    </row>
    <row r="343" spans="1:25" x14ac:dyDescent="0.3">
      <c r="A343" s="7">
        <v>35217</v>
      </c>
      <c r="B343" s="2">
        <f t="shared" si="5"/>
        <v>13301</v>
      </c>
      <c r="C343" s="3">
        <v>10511617.83</v>
      </c>
      <c r="D343" s="3">
        <v>28588994.09</v>
      </c>
      <c r="E343" s="3">
        <v>599637.57999999996</v>
      </c>
      <c r="F343" s="4">
        <v>3556139.43</v>
      </c>
      <c r="G343" s="3">
        <v>45710771.869999997</v>
      </c>
      <c r="H343" s="4">
        <v>5081839.5</v>
      </c>
      <c r="I343" s="3">
        <v>6410718.5</v>
      </c>
      <c r="J343" s="3">
        <v>1262480.5</v>
      </c>
      <c r="K343" s="4">
        <v>16777685.68</v>
      </c>
      <c r="L343" s="3">
        <v>911660.44</v>
      </c>
      <c r="M343" s="3">
        <v>2129467.7200000002</v>
      </c>
      <c r="N343" s="3">
        <v>12636320.369999999</v>
      </c>
      <c r="O343" s="34">
        <v>19675059.23</v>
      </c>
      <c r="P343" s="34">
        <v>13175968.939999999</v>
      </c>
      <c r="Q343" s="34" t="s">
        <v>25</v>
      </c>
      <c r="R343" s="4">
        <v>2608982.36</v>
      </c>
      <c r="S343" s="3">
        <v>326747211.98000002</v>
      </c>
      <c r="T343" s="4">
        <v>11237984.039999999</v>
      </c>
      <c r="U343" s="4">
        <v>76188.88</v>
      </c>
      <c r="V343" s="4">
        <v>27970.53</v>
      </c>
      <c r="W343" s="23">
        <v>15050</v>
      </c>
      <c r="X343" s="34"/>
      <c r="Y343" s="3">
        <v>507741749.47000003</v>
      </c>
    </row>
    <row r="344" spans="1:25" x14ac:dyDescent="0.3">
      <c r="A344" s="7">
        <v>35247</v>
      </c>
      <c r="B344" s="2">
        <f t="shared" si="5"/>
        <v>13331</v>
      </c>
      <c r="C344" s="3">
        <v>10285441.460000001</v>
      </c>
      <c r="D344" s="3">
        <v>87805000.480000004</v>
      </c>
      <c r="E344" s="3">
        <v>390388.95</v>
      </c>
      <c r="F344" s="4">
        <v>2937245.42</v>
      </c>
      <c r="G344" s="3">
        <v>47361081.520000003</v>
      </c>
      <c r="H344" s="4">
        <v>4487703.49</v>
      </c>
      <c r="I344" s="3">
        <v>8134924.7199999997</v>
      </c>
      <c r="J344" s="3">
        <v>1287655.97</v>
      </c>
      <c r="K344" s="4">
        <v>14269227.220000001</v>
      </c>
      <c r="L344" s="3">
        <v>901650</v>
      </c>
      <c r="M344" s="3">
        <v>2350180.52</v>
      </c>
      <c r="N344" s="3">
        <v>450448.02</v>
      </c>
      <c r="O344" s="34">
        <v>14190698.359999999</v>
      </c>
      <c r="P344" s="34">
        <v>17915256.969999999</v>
      </c>
      <c r="Q344" s="34" t="s">
        <v>25</v>
      </c>
      <c r="R344" s="4">
        <v>2019007.43</v>
      </c>
      <c r="S344" s="3">
        <v>326314382.37</v>
      </c>
      <c r="T344" s="4">
        <v>10770282.560000001</v>
      </c>
      <c r="U344" s="4">
        <v>65017.919999999998</v>
      </c>
      <c r="V344" s="4">
        <v>25648.71</v>
      </c>
      <c r="W344" s="23">
        <v>73045</v>
      </c>
      <c r="X344" s="34"/>
      <c r="Y344" s="3">
        <v>552034287.09000003</v>
      </c>
    </row>
    <row r="345" spans="1:25" x14ac:dyDescent="0.3">
      <c r="A345" s="7">
        <v>35278</v>
      </c>
      <c r="B345" s="2">
        <f t="shared" si="5"/>
        <v>13362</v>
      </c>
      <c r="C345" s="3">
        <v>11041613.039999999</v>
      </c>
      <c r="D345" s="3">
        <v>15345755.109999999</v>
      </c>
      <c r="E345" s="3">
        <v>1675739.48</v>
      </c>
      <c r="F345" s="4">
        <v>4875009.88</v>
      </c>
      <c r="G345" s="3">
        <v>49801209.890000001</v>
      </c>
      <c r="H345" s="4">
        <v>5085262.9000000004</v>
      </c>
      <c r="I345" s="3">
        <v>7429355.0700000003</v>
      </c>
      <c r="J345" s="3">
        <v>1408047.82</v>
      </c>
      <c r="K345" s="4">
        <v>10892174.67</v>
      </c>
      <c r="L345" s="3">
        <v>894353.58</v>
      </c>
      <c r="M345" s="3">
        <v>2034569.69</v>
      </c>
      <c r="N345" s="3">
        <v>157897.25</v>
      </c>
      <c r="O345" s="34">
        <v>11275001.93</v>
      </c>
      <c r="P345" s="34">
        <v>24787124.140000001</v>
      </c>
      <c r="Q345" s="34" t="s">
        <v>25</v>
      </c>
      <c r="R345" s="4">
        <v>2071993.53</v>
      </c>
      <c r="S345" s="3">
        <v>322386312.56999999</v>
      </c>
      <c r="T345" s="4">
        <v>10491241.01</v>
      </c>
      <c r="U345" s="4">
        <v>57291.19</v>
      </c>
      <c r="V345" s="4">
        <v>33609.360000000001</v>
      </c>
      <c r="W345" s="23">
        <v>105</v>
      </c>
      <c r="X345" s="34"/>
      <c r="Y345" s="3">
        <v>481743667.11000001</v>
      </c>
    </row>
    <row r="346" spans="1:25" x14ac:dyDescent="0.3">
      <c r="A346" s="7">
        <v>35309</v>
      </c>
      <c r="B346" s="2">
        <f t="shared" si="5"/>
        <v>13393</v>
      </c>
      <c r="C346" s="3">
        <v>16057698.640000001</v>
      </c>
      <c r="D346" s="3">
        <v>13687943.91</v>
      </c>
      <c r="E346" s="3">
        <v>468281.05</v>
      </c>
      <c r="F346" s="4">
        <v>3672519.66</v>
      </c>
      <c r="G346" s="3">
        <v>46727275.350000001</v>
      </c>
      <c r="H346" s="4">
        <v>4348594.51</v>
      </c>
      <c r="I346" s="3">
        <v>6503241.54</v>
      </c>
      <c r="J346" s="3">
        <v>1331297.71</v>
      </c>
      <c r="K346" s="4">
        <v>10135655.57</v>
      </c>
      <c r="L346" s="3">
        <v>860363</v>
      </c>
      <c r="M346" s="3">
        <v>2234922.33</v>
      </c>
      <c r="N346" s="3">
        <v>271461.45</v>
      </c>
      <c r="O346" s="34">
        <v>10684090.109999999</v>
      </c>
      <c r="P346" s="34">
        <v>14693877.289999999</v>
      </c>
      <c r="Q346" s="34" t="s">
        <v>25</v>
      </c>
      <c r="R346" s="4">
        <v>2232613.48</v>
      </c>
      <c r="S346" s="3">
        <v>318971302.75999999</v>
      </c>
      <c r="T346" s="4">
        <v>10868911.869999999</v>
      </c>
      <c r="U346" s="4">
        <v>68560.81</v>
      </c>
      <c r="V346" s="4">
        <v>4936.92</v>
      </c>
      <c r="W346" s="23">
        <v>0</v>
      </c>
      <c r="X346" s="34"/>
      <c r="Y346" s="3">
        <v>463823547.95999998</v>
      </c>
    </row>
    <row r="347" spans="1:25" x14ac:dyDescent="0.3">
      <c r="A347" s="7">
        <v>35339</v>
      </c>
      <c r="B347" s="2">
        <f t="shared" si="5"/>
        <v>13423</v>
      </c>
      <c r="C347" s="3">
        <v>27433418.850000001</v>
      </c>
      <c r="D347" s="3">
        <v>70710298.930000007</v>
      </c>
      <c r="E347" s="3">
        <v>1901297.04</v>
      </c>
      <c r="F347" s="4">
        <v>4658022.18</v>
      </c>
      <c r="G347" s="3">
        <v>43494354.130000003</v>
      </c>
      <c r="H347" s="4">
        <v>4607787.3099999996</v>
      </c>
      <c r="I347" s="3">
        <v>8026332.7000000002</v>
      </c>
      <c r="J347" s="3">
        <v>1168631.58</v>
      </c>
      <c r="K347" s="4">
        <v>10303868.66</v>
      </c>
      <c r="L347" s="3">
        <v>964961.57</v>
      </c>
      <c r="M347" s="3">
        <v>2192424.12</v>
      </c>
      <c r="N347" s="3">
        <v>127964.09</v>
      </c>
      <c r="O347" s="34">
        <v>11973847.85</v>
      </c>
      <c r="P347" s="34">
        <v>14447389.720000001</v>
      </c>
      <c r="Q347" s="34" t="s">
        <v>25</v>
      </c>
      <c r="R347" s="4">
        <v>2236140</v>
      </c>
      <c r="S347" s="3">
        <v>326305427.95999998</v>
      </c>
      <c r="T347" s="4">
        <v>10628552.460000001</v>
      </c>
      <c r="U347" s="4">
        <v>67035.429999999993</v>
      </c>
      <c r="V347" s="4">
        <v>11996.11</v>
      </c>
      <c r="W347" s="23">
        <v>0</v>
      </c>
      <c r="X347" s="34"/>
      <c r="Y347" s="3">
        <v>541259750.69000006</v>
      </c>
    </row>
    <row r="348" spans="1:25" x14ac:dyDescent="0.3">
      <c r="A348" s="7">
        <v>35370</v>
      </c>
      <c r="B348" s="2">
        <f t="shared" si="5"/>
        <v>13454</v>
      </c>
      <c r="C348" s="3">
        <v>24954535.719999999</v>
      </c>
      <c r="D348" s="3">
        <v>3325945.88</v>
      </c>
      <c r="E348" s="3">
        <v>228875.48</v>
      </c>
      <c r="F348" s="4">
        <v>3996723.27</v>
      </c>
      <c r="G348" s="3">
        <v>43016188.350000001</v>
      </c>
      <c r="H348" s="4">
        <v>4647948.9800000004</v>
      </c>
      <c r="I348" s="3">
        <v>6198275.6100000003</v>
      </c>
      <c r="J348" s="3">
        <v>1222792.6100000001</v>
      </c>
      <c r="K348" s="4">
        <v>8590647.6500000004</v>
      </c>
      <c r="L348" s="3">
        <v>713111.96</v>
      </c>
      <c r="M348" s="3">
        <v>2187138.85</v>
      </c>
      <c r="N348" s="3">
        <v>50894.81</v>
      </c>
      <c r="O348" s="34">
        <v>11152129.35</v>
      </c>
      <c r="P348" s="34">
        <v>14629686.550000001</v>
      </c>
      <c r="Q348" s="34" t="s">
        <v>25</v>
      </c>
      <c r="R348" s="4">
        <v>2372830.15</v>
      </c>
      <c r="S348" s="3">
        <v>321466168.97000003</v>
      </c>
      <c r="T348" s="4">
        <v>11078332.85</v>
      </c>
      <c r="U348" s="4">
        <v>72445.919999999998</v>
      </c>
      <c r="V348" s="4">
        <v>13000.28</v>
      </c>
      <c r="W348" s="23">
        <v>3412.5</v>
      </c>
      <c r="X348" s="34"/>
      <c r="Y348" s="3">
        <v>459921085.74000001</v>
      </c>
    </row>
    <row r="349" spans="1:25" x14ac:dyDescent="0.3">
      <c r="A349" s="7">
        <v>35400</v>
      </c>
      <c r="B349" s="2">
        <f t="shared" si="5"/>
        <v>13484</v>
      </c>
      <c r="C349" s="3">
        <v>18486403</v>
      </c>
      <c r="D349" s="3">
        <v>26246960.59</v>
      </c>
      <c r="E349" s="3">
        <v>3084491.63</v>
      </c>
      <c r="F349" s="4">
        <v>4279764.66</v>
      </c>
      <c r="G349" s="3">
        <v>46593380.740000002</v>
      </c>
      <c r="H349" s="4">
        <v>5045590.04</v>
      </c>
      <c r="I349" s="3">
        <v>8269388.9699999997</v>
      </c>
      <c r="J349" s="3">
        <v>1087928.25</v>
      </c>
      <c r="K349" s="4">
        <v>8057482.1900000004</v>
      </c>
      <c r="L349" s="3">
        <v>729284.99</v>
      </c>
      <c r="M349" s="3">
        <v>2258219.19</v>
      </c>
      <c r="N349" s="3">
        <v>114644.4</v>
      </c>
      <c r="O349" s="34">
        <v>9293768.0600000005</v>
      </c>
      <c r="P349" s="34">
        <v>14040344.699999999</v>
      </c>
      <c r="Q349" s="34" t="s">
        <v>25</v>
      </c>
      <c r="R349" s="4">
        <v>2575428.61</v>
      </c>
      <c r="S349" s="3">
        <v>311622238.76999998</v>
      </c>
      <c r="T349" s="4">
        <v>10933857.23</v>
      </c>
      <c r="U349" s="4">
        <v>61869.7</v>
      </c>
      <c r="V349" s="4">
        <v>1078.48</v>
      </c>
      <c r="W349" s="23">
        <v>0</v>
      </c>
      <c r="X349" s="34"/>
      <c r="Y349" s="3">
        <v>472782124.19999999</v>
      </c>
    </row>
    <row r="350" spans="1:25" x14ac:dyDescent="0.3">
      <c r="A350" s="7">
        <v>35431</v>
      </c>
      <c r="B350" s="2">
        <f t="shared" si="5"/>
        <v>13515</v>
      </c>
      <c r="C350" s="10">
        <v>18314924.359999999</v>
      </c>
      <c r="D350" s="10">
        <v>61836882.590000004</v>
      </c>
      <c r="E350" s="10">
        <v>2670102.25</v>
      </c>
      <c r="F350" s="10">
        <v>6745306.71</v>
      </c>
      <c r="G350" s="10">
        <v>46346530.350000001</v>
      </c>
      <c r="H350" s="10">
        <v>5120071.8600000003</v>
      </c>
      <c r="I350" s="10">
        <v>6246881.3899999997</v>
      </c>
      <c r="J350" s="10">
        <v>1051320.74</v>
      </c>
      <c r="K350" s="10">
        <v>10425125.09</v>
      </c>
      <c r="L350" s="10">
        <v>827439.16</v>
      </c>
      <c r="M350" s="10">
        <v>2499504.0099999998</v>
      </c>
      <c r="N350" s="10">
        <v>197928.67</v>
      </c>
      <c r="O350" s="34">
        <v>12277018.210000001</v>
      </c>
      <c r="P350" s="34">
        <v>14014209.380000001</v>
      </c>
      <c r="Q350" s="34" t="s">
        <v>25</v>
      </c>
      <c r="R350" s="10">
        <v>3447890.42</v>
      </c>
      <c r="S350" s="10">
        <v>383820738.79000002</v>
      </c>
      <c r="T350" s="10">
        <v>9621497.4499999993</v>
      </c>
      <c r="U350" s="10">
        <v>53873.15</v>
      </c>
      <c r="V350" s="10">
        <v>55596.81</v>
      </c>
      <c r="W350" s="25">
        <v>3683.76</v>
      </c>
      <c r="X350" s="34"/>
      <c r="Y350" s="10">
        <v>585576525.14999998</v>
      </c>
    </row>
    <row r="351" spans="1:25" x14ac:dyDescent="0.3">
      <c r="A351" s="7">
        <v>35462</v>
      </c>
      <c r="B351" s="2">
        <f t="shared" si="5"/>
        <v>13546</v>
      </c>
      <c r="C351" s="10">
        <v>7744168.6399999997</v>
      </c>
      <c r="D351" s="10">
        <v>14345304.33</v>
      </c>
      <c r="E351" s="10">
        <v>1917943.26</v>
      </c>
      <c r="F351" s="10">
        <v>2733344.41</v>
      </c>
      <c r="G351" s="10">
        <v>43455334.969999999</v>
      </c>
      <c r="H351" s="10">
        <v>3702980.63</v>
      </c>
      <c r="I351" s="10">
        <v>6429164.6399999997</v>
      </c>
      <c r="J351" s="10">
        <v>1062714.25</v>
      </c>
      <c r="K351" s="10">
        <v>14847364.640000001</v>
      </c>
      <c r="L351" s="10">
        <v>853369.67</v>
      </c>
      <c r="M351" s="10">
        <v>2057017.77</v>
      </c>
      <c r="N351" s="10">
        <v>110828.46</v>
      </c>
      <c r="O351" s="34">
        <v>9448271.5299999993</v>
      </c>
      <c r="P351" s="34">
        <v>14771254.6</v>
      </c>
      <c r="Q351" s="34" t="s">
        <v>25</v>
      </c>
      <c r="R351" s="10">
        <v>1803793.87</v>
      </c>
      <c r="S351" s="10">
        <v>281277788.05000001</v>
      </c>
      <c r="T351" s="10">
        <v>10777784.470000001</v>
      </c>
      <c r="U351" s="10">
        <v>63668.68</v>
      </c>
      <c r="V351" s="10">
        <v>34196.129999999997</v>
      </c>
      <c r="W351" s="25">
        <v>0</v>
      </c>
      <c r="X351" s="34"/>
      <c r="Y351" s="10">
        <v>417436293</v>
      </c>
    </row>
    <row r="352" spans="1:25" x14ac:dyDescent="0.3">
      <c r="A352" s="7">
        <v>35490</v>
      </c>
      <c r="B352" s="2">
        <f t="shared" si="5"/>
        <v>13574</v>
      </c>
      <c r="C352" s="10">
        <v>90986929.569999993</v>
      </c>
      <c r="D352" s="10">
        <v>29141839.280000001</v>
      </c>
      <c r="E352" s="10">
        <v>6759972.4199999999</v>
      </c>
      <c r="F352" s="10">
        <v>4663065.38</v>
      </c>
      <c r="G352" s="10">
        <v>38440079.759999998</v>
      </c>
      <c r="H352" s="10">
        <v>3913083.7</v>
      </c>
      <c r="I352" s="10">
        <v>6560193.7000000002</v>
      </c>
      <c r="J352" s="10">
        <v>1093157.02</v>
      </c>
      <c r="K352" s="10">
        <v>26164909.620000001</v>
      </c>
      <c r="L352" s="10">
        <v>878914.51</v>
      </c>
      <c r="M352" s="10">
        <v>2167080.46</v>
      </c>
      <c r="N352" s="10">
        <v>279612.2</v>
      </c>
      <c r="O352" s="34">
        <v>8892341.5</v>
      </c>
      <c r="P352" s="34">
        <v>15443552.27</v>
      </c>
      <c r="Q352" s="34" t="s">
        <v>25</v>
      </c>
      <c r="R352" s="10">
        <v>2077836.2</v>
      </c>
      <c r="S352" s="10">
        <v>284694053.19</v>
      </c>
      <c r="T352" s="10">
        <v>9668345.7100000009</v>
      </c>
      <c r="U352" s="10">
        <v>64206.05</v>
      </c>
      <c r="V352" s="10">
        <v>35290.480000000003</v>
      </c>
      <c r="W352" s="25">
        <v>1400</v>
      </c>
      <c r="X352" s="34"/>
      <c r="Y352" s="10">
        <v>531925863.01999998</v>
      </c>
    </row>
    <row r="353" spans="1:25" x14ac:dyDescent="0.3">
      <c r="A353" s="7">
        <v>35521</v>
      </c>
      <c r="B353" s="2">
        <f t="shared" si="5"/>
        <v>13605</v>
      </c>
      <c r="C353" s="10">
        <v>137281333.33000001</v>
      </c>
      <c r="D353" s="10">
        <v>121140225.90000001</v>
      </c>
      <c r="E353" s="10">
        <v>103300839.23999999</v>
      </c>
      <c r="F353" s="10">
        <v>14639385.73</v>
      </c>
      <c r="G353" s="10">
        <v>43863818.840000004</v>
      </c>
      <c r="H353" s="10">
        <v>4670749.53</v>
      </c>
      <c r="I353" s="10">
        <v>7364383.0700000003</v>
      </c>
      <c r="J353" s="10">
        <v>1089524.24</v>
      </c>
      <c r="K353" s="10">
        <v>34678293.140000001</v>
      </c>
      <c r="L353" s="10">
        <v>937361</v>
      </c>
      <c r="M353" s="10">
        <v>2233393.6</v>
      </c>
      <c r="N353" s="10">
        <v>360643.43</v>
      </c>
      <c r="O353" s="34">
        <v>12835973.460000001</v>
      </c>
      <c r="P353" s="34">
        <v>14449220.01</v>
      </c>
      <c r="Q353" s="34" t="s">
        <v>25</v>
      </c>
      <c r="R353" s="10">
        <v>2189148.27</v>
      </c>
      <c r="S353" s="10">
        <v>331038719.58999997</v>
      </c>
      <c r="T353" s="10">
        <v>9440503.5</v>
      </c>
      <c r="U353" s="10">
        <v>65424.47</v>
      </c>
      <c r="V353" s="10">
        <v>27844.44</v>
      </c>
      <c r="W353" s="25">
        <v>175</v>
      </c>
      <c r="X353" s="34"/>
      <c r="Y353" s="10">
        <v>841606959.78999996</v>
      </c>
    </row>
    <row r="354" spans="1:25" x14ac:dyDescent="0.3">
      <c r="A354" s="7">
        <v>35551</v>
      </c>
      <c r="B354" s="2">
        <f t="shared" si="5"/>
        <v>13635</v>
      </c>
      <c r="C354" s="10">
        <v>12538869.279999999</v>
      </c>
      <c r="D354" s="10">
        <v>13246367.75</v>
      </c>
      <c r="E354" s="10">
        <v>5540527.6799999997</v>
      </c>
      <c r="F354" s="10">
        <v>3382014.58</v>
      </c>
      <c r="G354" s="10">
        <v>45494693.270000003</v>
      </c>
      <c r="H354" s="10">
        <v>5054490.6399999997</v>
      </c>
      <c r="I354" s="10">
        <v>7355995.3700000001</v>
      </c>
      <c r="J354" s="10">
        <v>1505748.8</v>
      </c>
      <c r="K354" s="10">
        <v>20000754.760000002</v>
      </c>
      <c r="L354" s="10">
        <v>964399.41</v>
      </c>
      <c r="M354" s="10">
        <v>2264832.86</v>
      </c>
      <c r="N354" s="10">
        <v>145530.4</v>
      </c>
      <c r="O354" s="34">
        <v>16380578.49</v>
      </c>
      <c r="P354" s="34">
        <v>14313709.75</v>
      </c>
      <c r="Q354" s="34" t="s">
        <v>25</v>
      </c>
      <c r="R354" s="10">
        <v>2393421.17</v>
      </c>
      <c r="S354" s="10">
        <v>319247536.70999998</v>
      </c>
      <c r="T354" s="10">
        <v>11286735.6</v>
      </c>
      <c r="U354" s="10">
        <v>57699.4</v>
      </c>
      <c r="V354" s="10">
        <v>103666.08</v>
      </c>
      <c r="W354" s="25">
        <v>1400</v>
      </c>
      <c r="X354" s="34"/>
      <c r="Y354" s="10">
        <v>481278972</v>
      </c>
    </row>
    <row r="355" spans="1:25" x14ac:dyDescent="0.3">
      <c r="A355" s="7">
        <v>35582</v>
      </c>
      <c r="B355" s="2">
        <f t="shared" si="5"/>
        <v>13666</v>
      </c>
      <c r="C355" s="10">
        <v>25714603.66</v>
      </c>
      <c r="D355" s="10">
        <v>22827578.989999998</v>
      </c>
      <c r="E355" s="10">
        <v>249547.7</v>
      </c>
      <c r="F355" s="10">
        <v>3976677.55</v>
      </c>
      <c r="G355" s="10">
        <v>46941075.469999999</v>
      </c>
      <c r="H355" s="10">
        <v>4297268.13</v>
      </c>
      <c r="I355" s="10">
        <v>7384103.6900000004</v>
      </c>
      <c r="J355" s="10">
        <v>1182363.74</v>
      </c>
      <c r="K355" s="10">
        <v>18026089.789999999</v>
      </c>
      <c r="L355" s="10">
        <v>934429.61</v>
      </c>
      <c r="M355" s="10">
        <v>2659356.0099999998</v>
      </c>
      <c r="N355" s="10">
        <v>12659447.210000001</v>
      </c>
      <c r="O355" s="34">
        <v>22180572.309999999</v>
      </c>
      <c r="P355" s="34">
        <v>13946802.949999999</v>
      </c>
      <c r="Q355" s="34" t="s">
        <v>25</v>
      </c>
      <c r="R355" s="10">
        <v>2495738.4</v>
      </c>
      <c r="S355" s="10">
        <v>363795937.31</v>
      </c>
      <c r="T355" s="10">
        <v>11330833.189999999</v>
      </c>
      <c r="U355" s="10">
        <v>56117.3</v>
      </c>
      <c r="V355" s="10">
        <v>24408.07</v>
      </c>
      <c r="W355" s="25">
        <v>8400</v>
      </c>
      <c r="X355" s="34"/>
      <c r="Y355" s="10">
        <v>560691351.08000004</v>
      </c>
    </row>
    <row r="356" spans="1:25" x14ac:dyDescent="0.3">
      <c r="A356" s="7">
        <v>35612</v>
      </c>
      <c r="B356" s="2">
        <f t="shared" si="5"/>
        <v>13696</v>
      </c>
      <c r="C356" s="10">
        <v>7740270.79</v>
      </c>
      <c r="D356" s="10">
        <v>98361103.939999998</v>
      </c>
      <c r="E356" s="10">
        <v>1084982.8999999999</v>
      </c>
      <c r="F356" s="10">
        <v>1734927.34</v>
      </c>
      <c r="G356" s="10">
        <v>49082066.119999997</v>
      </c>
      <c r="H356" s="10">
        <v>4554740.16</v>
      </c>
      <c r="I356" s="10">
        <v>7679911.9800000004</v>
      </c>
      <c r="J356" s="10">
        <v>1509602.88</v>
      </c>
      <c r="K356" s="10">
        <v>12090619.33</v>
      </c>
      <c r="L356" s="10">
        <v>898209.24</v>
      </c>
      <c r="M356" s="10">
        <v>2432611.7799999998</v>
      </c>
      <c r="N356" s="10">
        <v>876422.64</v>
      </c>
      <c r="O356" s="34">
        <v>14351619.67</v>
      </c>
      <c r="P356" s="34">
        <v>19511206.809999999</v>
      </c>
      <c r="Q356" s="34" t="s">
        <v>25</v>
      </c>
      <c r="R356" s="10">
        <v>2164017.71</v>
      </c>
      <c r="S356" s="10">
        <v>342089079.92000002</v>
      </c>
      <c r="T356" s="10">
        <v>10721088.199999999</v>
      </c>
      <c r="U356" s="10">
        <v>40690</v>
      </c>
      <c r="V356" s="10">
        <v>39610.82</v>
      </c>
      <c r="W356" s="25">
        <v>42700</v>
      </c>
      <c r="X356" s="34"/>
      <c r="Y356" s="10">
        <v>577005482.23000002</v>
      </c>
    </row>
    <row r="357" spans="1:25" x14ac:dyDescent="0.3">
      <c r="A357" s="7">
        <v>35643</v>
      </c>
      <c r="B357" s="2">
        <f t="shared" si="5"/>
        <v>13727</v>
      </c>
      <c r="C357" s="10">
        <v>13002197.15</v>
      </c>
      <c r="D357" s="10">
        <v>18510002.359999999</v>
      </c>
      <c r="E357" s="10">
        <v>1065599.53</v>
      </c>
      <c r="F357" s="10">
        <v>4488683.75</v>
      </c>
      <c r="G357" s="10">
        <v>49497686.439999998</v>
      </c>
      <c r="H357" s="10">
        <v>4914058.68</v>
      </c>
      <c r="I357" s="10">
        <v>7898536.4199999999</v>
      </c>
      <c r="J357" s="10">
        <v>1221882.79</v>
      </c>
      <c r="K357" s="10">
        <v>12005184.51</v>
      </c>
      <c r="L357" s="10">
        <v>885575.16</v>
      </c>
      <c r="M357" s="10">
        <v>2109332.1</v>
      </c>
      <c r="N357" s="10">
        <v>571975.87</v>
      </c>
      <c r="O357" s="34">
        <v>11850396.720000001</v>
      </c>
      <c r="P357" s="34">
        <v>25720065.280000001</v>
      </c>
      <c r="Q357" s="34" t="s">
        <v>25</v>
      </c>
      <c r="R357" s="10">
        <v>2121232.6</v>
      </c>
      <c r="S357" s="10">
        <v>341834700.56999999</v>
      </c>
      <c r="T357" s="10">
        <v>10674336.640000001</v>
      </c>
      <c r="U357" s="10">
        <v>51209.77</v>
      </c>
      <c r="V357" s="10">
        <v>23111.57</v>
      </c>
      <c r="W357" s="25">
        <v>1750</v>
      </c>
      <c r="X357" s="34"/>
      <c r="Y357" s="10">
        <v>508447517.91000003</v>
      </c>
    </row>
    <row r="358" spans="1:25" x14ac:dyDescent="0.3">
      <c r="A358" s="7">
        <v>35674</v>
      </c>
      <c r="B358" s="2">
        <f t="shared" si="5"/>
        <v>13758</v>
      </c>
      <c r="C358" s="10">
        <v>1126315.93</v>
      </c>
      <c r="D358" s="10">
        <v>41169467.710000001</v>
      </c>
      <c r="E358" s="10">
        <v>294939.36</v>
      </c>
      <c r="F358" s="10">
        <v>4636392.76</v>
      </c>
      <c r="G358" s="10">
        <v>48652394.619999997</v>
      </c>
      <c r="H358" s="10">
        <v>5177001.88</v>
      </c>
      <c r="I358" s="10">
        <v>7268694</v>
      </c>
      <c r="J358" s="10">
        <v>1523345.02</v>
      </c>
      <c r="K358" s="10">
        <v>11937028.949999999</v>
      </c>
      <c r="L358" s="10">
        <v>891084.88</v>
      </c>
      <c r="M358" s="10">
        <v>2522431.7000000002</v>
      </c>
      <c r="N358" s="10">
        <v>293565.99</v>
      </c>
      <c r="O358" s="34">
        <v>11113906.529999999</v>
      </c>
      <c r="P358" s="34">
        <v>15859088.970000001</v>
      </c>
      <c r="Q358" s="34" t="s">
        <v>25</v>
      </c>
      <c r="R358" s="10">
        <v>2281833.16</v>
      </c>
      <c r="S358" s="10">
        <v>335844745.06999999</v>
      </c>
      <c r="T358" s="10">
        <v>10997818.98</v>
      </c>
      <c r="U358" s="10">
        <v>59523.23</v>
      </c>
      <c r="V358" s="10">
        <v>26372.2</v>
      </c>
      <c r="W358" s="25">
        <v>0</v>
      </c>
      <c r="X358" s="34"/>
      <c r="Y358" s="10">
        <v>501675950.94</v>
      </c>
    </row>
    <row r="359" spans="1:25" x14ac:dyDescent="0.3">
      <c r="A359" s="7">
        <v>35704</v>
      </c>
      <c r="B359" s="2">
        <f t="shared" si="5"/>
        <v>13788</v>
      </c>
      <c r="C359" s="10">
        <v>12527780.640000001</v>
      </c>
      <c r="D359" s="10">
        <v>94703950.560000002</v>
      </c>
      <c r="E359" s="10">
        <v>2255170.88</v>
      </c>
      <c r="F359" s="10">
        <v>6714014.7300000004</v>
      </c>
      <c r="G359" s="10">
        <v>45551116.149999999</v>
      </c>
      <c r="H359" s="10">
        <v>5223106.1900000004</v>
      </c>
      <c r="I359" s="10">
        <v>7464690.1900000004</v>
      </c>
      <c r="J359" s="10">
        <v>1226223.6499999999</v>
      </c>
      <c r="K359" s="10">
        <v>11075538.16</v>
      </c>
      <c r="L359" s="10">
        <v>899323.53</v>
      </c>
      <c r="M359" s="10">
        <v>2210352.09</v>
      </c>
      <c r="N359" s="10">
        <v>380905.57</v>
      </c>
      <c r="O359" s="34">
        <v>13716916.9</v>
      </c>
      <c r="P359" s="34">
        <v>14103494.52</v>
      </c>
      <c r="Q359" s="34" t="s">
        <v>25</v>
      </c>
      <c r="R359" s="10">
        <v>2154518.36</v>
      </c>
      <c r="S359" s="10">
        <v>356967128.05000001</v>
      </c>
      <c r="T359" s="10">
        <v>10782334.140000001</v>
      </c>
      <c r="U359" s="10">
        <v>56272.6</v>
      </c>
      <c r="V359" s="10">
        <v>20696.95</v>
      </c>
      <c r="W359" s="25">
        <v>0</v>
      </c>
      <c r="X359" s="34"/>
      <c r="Y359" s="10">
        <v>588033533.86000001</v>
      </c>
    </row>
    <row r="360" spans="1:25" x14ac:dyDescent="0.3">
      <c r="A360" s="7">
        <v>35735</v>
      </c>
      <c r="B360" s="2">
        <f t="shared" si="5"/>
        <v>13819</v>
      </c>
      <c r="C360" s="10">
        <v>5524198.5</v>
      </c>
      <c r="D360" s="10">
        <v>12510558.609999999</v>
      </c>
      <c r="E360" s="10">
        <v>460467.18</v>
      </c>
      <c r="F360" s="10">
        <v>4491092.79</v>
      </c>
      <c r="G360" s="10">
        <v>46723616.200000003</v>
      </c>
      <c r="H360" s="10">
        <v>4954249.6900000004</v>
      </c>
      <c r="I360" s="10">
        <v>5719364.21</v>
      </c>
      <c r="J360" s="10">
        <v>1216531.56</v>
      </c>
      <c r="K360" s="10">
        <v>9191302.1600000001</v>
      </c>
      <c r="L360" s="10">
        <v>676906.52</v>
      </c>
      <c r="M360" s="10">
        <v>2337088.4900000002</v>
      </c>
      <c r="N360" s="10">
        <v>205040.53</v>
      </c>
      <c r="O360" s="34">
        <v>11979115.970000001</v>
      </c>
      <c r="P360" s="34">
        <v>14031114.93</v>
      </c>
      <c r="Q360" s="34" t="s">
        <v>25</v>
      </c>
      <c r="R360" s="10">
        <v>2385679.48</v>
      </c>
      <c r="S360" s="10">
        <v>330474424.00999999</v>
      </c>
      <c r="T360" s="10">
        <v>10568071.109999999</v>
      </c>
      <c r="U360" s="10">
        <v>60342</v>
      </c>
      <c r="V360" s="10">
        <v>29261.08</v>
      </c>
      <c r="W360" s="25">
        <v>0</v>
      </c>
      <c r="X360" s="34"/>
      <c r="Y360" s="10">
        <v>463538425.01999998</v>
      </c>
    </row>
    <row r="361" spans="1:25" x14ac:dyDescent="0.3">
      <c r="A361" s="7">
        <v>35765</v>
      </c>
      <c r="B361" s="2">
        <f t="shared" si="5"/>
        <v>13849</v>
      </c>
      <c r="C361" s="10">
        <v>18028791.25</v>
      </c>
      <c r="D361" s="10">
        <v>31713176.879999999</v>
      </c>
      <c r="E361" s="10">
        <v>3736247.28</v>
      </c>
      <c r="F361" s="10">
        <v>4097831.43</v>
      </c>
      <c r="G361" s="10">
        <v>44998677.200000003</v>
      </c>
      <c r="H361" s="10">
        <v>4763594.58</v>
      </c>
      <c r="I361" s="10">
        <v>8415358.5199999996</v>
      </c>
      <c r="J361" s="10">
        <v>895197.5</v>
      </c>
      <c r="K361" s="10">
        <v>9020914.6799999997</v>
      </c>
      <c r="L361" s="10">
        <v>784607.38</v>
      </c>
      <c r="M361" s="10">
        <v>2451549.9700000002</v>
      </c>
      <c r="N361" s="10">
        <v>194621.73</v>
      </c>
      <c r="O361" s="34">
        <v>9441380.1300000008</v>
      </c>
      <c r="P361" s="34">
        <v>13497374.939999999</v>
      </c>
      <c r="Q361" s="34" t="s">
        <v>25</v>
      </c>
      <c r="R361" s="10">
        <v>2402312.2400000002</v>
      </c>
      <c r="S361" s="10">
        <v>334834433.64999998</v>
      </c>
      <c r="T361" s="10">
        <v>12525533.300000001</v>
      </c>
      <c r="U361" s="10">
        <v>41275</v>
      </c>
      <c r="V361" s="10">
        <v>28034.18</v>
      </c>
      <c r="W361" s="25">
        <v>0</v>
      </c>
      <c r="X361" s="34"/>
      <c r="Y361" s="10">
        <v>501870911.84000003</v>
      </c>
    </row>
    <row r="362" spans="1:25" x14ac:dyDescent="0.3">
      <c r="A362" s="7">
        <v>35796</v>
      </c>
      <c r="B362" s="2">
        <f t="shared" si="5"/>
        <v>13880</v>
      </c>
      <c r="C362" s="10">
        <v>5842808.0599999996</v>
      </c>
      <c r="D362" s="10">
        <v>86324556.319999993</v>
      </c>
      <c r="E362" s="10">
        <v>3777003.23</v>
      </c>
      <c r="F362" s="10">
        <v>5842364.1100000003</v>
      </c>
      <c r="G362" s="10">
        <v>46735799.030000001</v>
      </c>
      <c r="H362" s="10">
        <v>5116490.53</v>
      </c>
      <c r="I362" s="10">
        <v>6637784.4699999997</v>
      </c>
      <c r="J362" s="10">
        <v>1248146.19</v>
      </c>
      <c r="K362" s="10">
        <v>10151662.199999999</v>
      </c>
      <c r="L362" s="10">
        <v>801332.73</v>
      </c>
      <c r="M362" s="10">
        <v>2603161.7200000002</v>
      </c>
      <c r="N362" s="10">
        <v>340743.72</v>
      </c>
      <c r="O362" s="34">
        <v>13888463.68</v>
      </c>
      <c r="P362" s="34">
        <v>14005874.48</v>
      </c>
      <c r="Q362" s="34" t="s">
        <v>25</v>
      </c>
      <c r="R362" s="10">
        <v>3597553.82</v>
      </c>
      <c r="S362" s="10">
        <v>407310974.64999998</v>
      </c>
      <c r="T362" s="10">
        <v>10811558.67</v>
      </c>
      <c r="U362" s="10">
        <v>45229</v>
      </c>
      <c r="V362" s="10">
        <v>27732.21</v>
      </c>
      <c r="W362" s="25">
        <v>0</v>
      </c>
      <c r="X362" s="34"/>
      <c r="Y362" s="10">
        <v>625109238.82000005</v>
      </c>
    </row>
    <row r="363" spans="1:25" x14ac:dyDescent="0.3">
      <c r="A363" s="7">
        <v>35827</v>
      </c>
      <c r="B363" s="2">
        <f t="shared" si="5"/>
        <v>13911</v>
      </c>
      <c r="C363" s="10">
        <v>6535212.1600000001</v>
      </c>
      <c r="D363" s="10">
        <v>14477847.66</v>
      </c>
      <c r="E363" s="10">
        <v>2836889.88</v>
      </c>
      <c r="F363" s="10">
        <v>7183734.4100000001</v>
      </c>
      <c r="G363" s="10">
        <v>43924145.780000001</v>
      </c>
      <c r="H363" s="10">
        <v>4954541.05</v>
      </c>
      <c r="I363" s="10">
        <v>6394387.4900000002</v>
      </c>
      <c r="J363" s="10">
        <v>1127649.28</v>
      </c>
      <c r="K363" s="10">
        <v>14045451.32</v>
      </c>
      <c r="L363" s="10">
        <v>767219.64</v>
      </c>
      <c r="M363" s="10">
        <v>2175050.83</v>
      </c>
      <c r="N363" s="10">
        <v>107172.24</v>
      </c>
      <c r="O363" s="34">
        <v>11453266.220000001</v>
      </c>
      <c r="P363" s="34">
        <v>14337529.9</v>
      </c>
      <c r="Q363" s="34" t="s">
        <v>25</v>
      </c>
      <c r="R363" s="10">
        <v>1644591.88</v>
      </c>
      <c r="S363" s="10">
        <v>294842174.43000001</v>
      </c>
      <c r="T363" s="10">
        <v>12542081.800000001</v>
      </c>
      <c r="U363" s="10">
        <v>52583.21</v>
      </c>
      <c r="V363" s="10">
        <v>19731.43</v>
      </c>
      <c r="W363" s="25">
        <v>1575</v>
      </c>
      <c r="X363" s="34"/>
      <c r="Y363" s="10">
        <v>439422835.61000001</v>
      </c>
    </row>
    <row r="364" spans="1:25" x14ac:dyDescent="0.3">
      <c r="A364" s="7">
        <v>35855</v>
      </c>
      <c r="B364" s="2">
        <f t="shared" si="5"/>
        <v>13939</v>
      </c>
      <c r="C364" s="10">
        <v>100942689.14</v>
      </c>
      <c r="D364" s="10">
        <v>41444264.840000004</v>
      </c>
      <c r="E364" s="10">
        <v>6929278.5099999998</v>
      </c>
      <c r="F364" s="10">
        <v>8437510.3000000007</v>
      </c>
      <c r="G364" s="10">
        <v>37261267.32</v>
      </c>
      <c r="H364" s="10">
        <v>3079235.67</v>
      </c>
      <c r="I364" s="10">
        <v>6811258.79</v>
      </c>
      <c r="J364" s="10">
        <v>1217356.24</v>
      </c>
      <c r="K364" s="10">
        <v>32103473.77</v>
      </c>
      <c r="L364" s="10">
        <v>960247.55</v>
      </c>
      <c r="M364" s="10">
        <v>2468635.21</v>
      </c>
      <c r="N364" s="10">
        <v>697724.65</v>
      </c>
      <c r="O364" s="34">
        <v>10676316.810000001</v>
      </c>
      <c r="P364" s="34">
        <v>13556145.18</v>
      </c>
      <c r="Q364" s="34" t="s">
        <v>25</v>
      </c>
      <c r="R364" s="10">
        <v>2105252.4500000002</v>
      </c>
      <c r="S364" s="10">
        <v>291418498.25999999</v>
      </c>
      <c r="T364" s="10">
        <v>9407833.2300000004</v>
      </c>
      <c r="U364" s="10">
        <v>46834</v>
      </c>
      <c r="V364" s="10">
        <v>20296.45</v>
      </c>
      <c r="W364" s="25">
        <v>0</v>
      </c>
      <c r="X364" s="34"/>
      <c r="Y364" s="10">
        <v>569584118.37</v>
      </c>
    </row>
    <row r="365" spans="1:25" x14ac:dyDescent="0.3">
      <c r="A365" s="7">
        <v>35886</v>
      </c>
      <c r="B365" s="2">
        <f t="shared" si="5"/>
        <v>13970</v>
      </c>
      <c r="C365" s="10">
        <v>114923385.73999999</v>
      </c>
      <c r="D365" s="10">
        <v>125626685.79000001</v>
      </c>
      <c r="E365" s="10">
        <v>135329643.38999999</v>
      </c>
      <c r="F365" s="10">
        <v>52150637.840000004</v>
      </c>
      <c r="G365" s="10">
        <v>45703526.109999999</v>
      </c>
      <c r="H365" s="10">
        <v>4939866.34</v>
      </c>
      <c r="I365" s="10">
        <v>7261693.25</v>
      </c>
      <c r="J365" s="10">
        <v>1032517.92</v>
      </c>
      <c r="K365" s="10">
        <v>37318552.740000002</v>
      </c>
      <c r="L365" s="10">
        <v>943148.25</v>
      </c>
      <c r="M365" s="10">
        <v>2595326.2599999998</v>
      </c>
      <c r="N365" s="10">
        <v>237384.91</v>
      </c>
      <c r="O365" s="34">
        <v>14266661.109999999</v>
      </c>
      <c r="P365" s="34">
        <v>13963339.449999999</v>
      </c>
      <c r="Q365" s="34" t="s">
        <v>25</v>
      </c>
      <c r="R365" s="10">
        <v>2259917.13</v>
      </c>
      <c r="S365" s="10">
        <v>349151025.36000001</v>
      </c>
      <c r="T365" s="10">
        <v>11338623.279999999</v>
      </c>
      <c r="U365" s="10">
        <v>42660.82</v>
      </c>
      <c r="V365" s="10">
        <v>17144.32</v>
      </c>
      <c r="W365" s="25">
        <v>262.5</v>
      </c>
      <c r="X365" s="34"/>
      <c r="Y365" s="10">
        <v>919102002.51000011</v>
      </c>
    </row>
    <row r="366" spans="1:25" x14ac:dyDescent="0.3">
      <c r="A366" s="7">
        <v>35916</v>
      </c>
      <c r="B366" s="2">
        <f t="shared" si="5"/>
        <v>14000</v>
      </c>
      <c r="C366" s="10">
        <v>14636241.25</v>
      </c>
      <c r="D366" s="10">
        <v>4469879.51</v>
      </c>
      <c r="E366" s="10">
        <v>309257.39</v>
      </c>
      <c r="F366" s="10">
        <v>4372299.54</v>
      </c>
      <c r="G366" s="10">
        <v>45709952.310000002</v>
      </c>
      <c r="H366" s="10">
        <v>3948718</v>
      </c>
      <c r="I366" s="10">
        <v>7433584.96</v>
      </c>
      <c r="J366" s="10">
        <v>1349560.63</v>
      </c>
      <c r="K366" s="10">
        <v>18963120.850000001</v>
      </c>
      <c r="L366" s="10">
        <v>835544.07</v>
      </c>
      <c r="M366" s="10">
        <v>2300606.11</v>
      </c>
      <c r="N366" s="10">
        <v>362845.79</v>
      </c>
      <c r="O366" s="34">
        <v>21844169.57</v>
      </c>
      <c r="P366" s="34">
        <v>14104447.68</v>
      </c>
      <c r="Q366" s="34" t="s">
        <v>25</v>
      </c>
      <c r="R366" s="10">
        <v>2559736.0499999998</v>
      </c>
      <c r="S366" s="10">
        <v>334915466.61000001</v>
      </c>
      <c r="T366" s="10">
        <v>12710313.609999999</v>
      </c>
      <c r="U366" s="10">
        <v>39746</v>
      </c>
      <c r="V366" s="10">
        <v>14699.16</v>
      </c>
      <c r="W366" s="25">
        <v>175</v>
      </c>
      <c r="X366" s="34"/>
      <c r="Y366" s="10">
        <v>490880364.09000009</v>
      </c>
    </row>
    <row r="367" spans="1:25" x14ac:dyDescent="0.3">
      <c r="A367" s="7">
        <v>35947</v>
      </c>
      <c r="B367" s="2">
        <f t="shared" si="5"/>
        <v>14031</v>
      </c>
      <c r="C367" s="10">
        <v>9676892.1699999999</v>
      </c>
      <c r="D367" s="10">
        <v>38106457.990000002</v>
      </c>
      <c r="E367" s="10">
        <v>2756452.54</v>
      </c>
      <c r="F367" s="10">
        <v>8969685.7100000009</v>
      </c>
      <c r="G367" s="10">
        <v>59830677.990000002</v>
      </c>
      <c r="H367" s="10">
        <v>4844166.55</v>
      </c>
      <c r="I367" s="10">
        <v>7664907.2999999998</v>
      </c>
      <c r="J367" s="10">
        <v>1273589.83</v>
      </c>
      <c r="K367" s="10">
        <v>16571457.32</v>
      </c>
      <c r="L367" s="10">
        <v>1019560.48</v>
      </c>
      <c r="M367" s="10">
        <v>2633141.92</v>
      </c>
      <c r="N367" s="10">
        <v>13639021</v>
      </c>
      <c r="O367" s="34">
        <v>24613518.890000001</v>
      </c>
      <c r="P367" s="34">
        <v>13613654.539999999</v>
      </c>
      <c r="Q367" s="34" t="s">
        <v>25</v>
      </c>
      <c r="R367" s="10">
        <v>2316460.5299999998</v>
      </c>
      <c r="S367" s="10">
        <v>350262137.38999999</v>
      </c>
      <c r="T367" s="10">
        <v>9012979.5199999996</v>
      </c>
      <c r="U367" s="10">
        <v>42025.3</v>
      </c>
      <c r="V367" s="10">
        <v>16019.52</v>
      </c>
      <c r="W367" s="25">
        <v>9450.5</v>
      </c>
      <c r="X367" s="34"/>
      <c r="Y367" s="10">
        <v>566872256.98999989</v>
      </c>
    </row>
    <row r="368" spans="1:25" x14ac:dyDescent="0.3">
      <c r="A368" s="7">
        <v>35977</v>
      </c>
      <c r="B368" s="2">
        <f t="shared" si="5"/>
        <v>14061</v>
      </c>
      <c r="C368" s="10">
        <v>14202613.01</v>
      </c>
      <c r="D368" s="10">
        <v>87747363.430000007</v>
      </c>
      <c r="E368" s="10">
        <v>690892.27</v>
      </c>
      <c r="F368" s="10">
        <v>6561518.8300000001</v>
      </c>
      <c r="G368" s="10">
        <v>48579973.759999998</v>
      </c>
      <c r="H368" s="10">
        <v>4944287.7300000004</v>
      </c>
      <c r="I368" s="10">
        <v>7122066.0700000003</v>
      </c>
      <c r="J368" s="10">
        <v>1424024.68</v>
      </c>
      <c r="K368" s="10">
        <v>14077819.6</v>
      </c>
      <c r="L368" s="10">
        <v>911826.3</v>
      </c>
      <c r="M368" s="10">
        <v>2322217.7000000002</v>
      </c>
      <c r="N368" s="10">
        <v>815949.84</v>
      </c>
      <c r="O368" s="34">
        <v>16140656.050000001</v>
      </c>
      <c r="P368" s="34">
        <v>21647894.579999998</v>
      </c>
      <c r="Q368" s="34" t="s">
        <v>25</v>
      </c>
      <c r="R368" s="10">
        <v>2485844.71</v>
      </c>
      <c r="S368" s="10">
        <v>374855175.42000002</v>
      </c>
      <c r="T368" s="10">
        <v>11784081.9</v>
      </c>
      <c r="U368" s="10">
        <v>49212.73</v>
      </c>
      <c r="V368" s="10">
        <v>25879.200000000001</v>
      </c>
      <c r="W368" s="25">
        <v>27352.5</v>
      </c>
      <c r="X368" s="34"/>
      <c r="Y368" s="10">
        <v>616416650.31000006</v>
      </c>
    </row>
    <row r="369" spans="1:25" x14ac:dyDescent="0.3">
      <c r="A369" s="7">
        <v>36008</v>
      </c>
      <c r="B369" s="2">
        <f t="shared" si="5"/>
        <v>14092</v>
      </c>
      <c r="C369" s="10">
        <v>8735818.9199999999</v>
      </c>
      <c r="D369" s="10">
        <v>11930928.16</v>
      </c>
      <c r="E369" s="10">
        <v>1944042.94</v>
      </c>
      <c r="F369" s="10">
        <v>8389907.7100000009</v>
      </c>
      <c r="G369" s="10">
        <v>49429316.259999998</v>
      </c>
      <c r="H369" s="10">
        <v>5340043.41</v>
      </c>
      <c r="I369" s="10">
        <v>7402769.3099999996</v>
      </c>
      <c r="J369" s="10">
        <v>1372026.99</v>
      </c>
      <c r="K369" s="10">
        <v>13716327.08</v>
      </c>
      <c r="L369" s="10">
        <v>913901.1</v>
      </c>
      <c r="M369" s="10">
        <v>2306504.7400000002</v>
      </c>
      <c r="N369" s="10">
        <v>270468.39</v>
      </c>
      <c r="O369" s="34">
        <v>15218624.98</v>
      </c>
      <c r="P369" s="34">
        <v>22708855.989999998</v>
      </c>
      <c r="Q369" s="34" t="s">
        <v>25</v>
      </c>
      <c r="R369" s="10">
        <v>2003683.31</v>
      </c>
      <c r="S369" s="10">
        <v>350776177.27999997</v>
      </c>
      <c r="T369" s="10">
        <v>15243283.369999999</v>
      </c>
      <c r="U369" s="10">
        <v>47938.42</v>
      </c>
      <c r="V369" s="10">
        <v>9608.7800000000007</v>
      </c>
      <c r="W369" s="25">
        <v>7783.52</v>
      </c>
      <c r="X369" s="34"/>
      <c r="Y369" s="10">
        <v>517768010.65999991</v>
      </c>
    </row>
    <row r="370" spans="1:25" x14ac:dyDescent="0.3">
      <c r="A370" s="7">
        <v>36039</v>
      </c>
      <c r="B370" s="2">
        <f t="shared" si="5"/>
        <v>14123</v>
      </c>
      <c r="C370" s="10">
        <v>17171885.050000001</v>
      </c>
      <c r="D370" s="10">
        <v>31110811.460000001</v>
      </c>
      <c r="E370" s="10">
        <v>675231.12</v>
      </c>
      <c r="F370" s="10">
        <v>3919005.64</v>
      </c>
      <c r="G370" s="10">
        <v>46296143.460000001</v>
      </c>
      <c r="H370" s="10">
        <v>4524455.28</v>
      </c>
      <c r="I370" s="10">
        <v>6757443.8399999999</v>
      </c>
      <c r="J370" s="10">
        <v>1415506</v>
      </c>
      <c r="K370" s="10">
        <v>13865680.880000001</v>
      </c>
      <c r="L370" s="10">
        <v>915108.03</v>
      </c>
      <c r="M370" s="10">
        <v>2460947.09</v>
      </c>
      <c r="N370" s="10">
        <v>409101.11</v>
      </c>
      <c r="O370" s="34">
        <v>12883475.59</v>
      </c>
      <c r="P370" s="34">
        <v>14231259.43</v>
      </c>
      <c r="Q370" s="34" t="s">
        <v>25</v>
      </c>
      <c r="R370" s="10">
        <v>1950393.14</v>
      </c>
      <c r="S370" s="10">
        <v>351675847.75</v>
      </c>
      <c r="T370" s="10">
        <v>8597622.0399999991</v>
      </c>
      <c r="U370" s="10">
        <v>40105.800000000003</v>
      </c>
      <c r="V370" s="10">
        <v>18743.95</v>
      </c>
      <c r="W370" s="25">
        <v>9552.6</v>
      </c>
      <c r="X370" s="34"/>
      <c r="Y370" s="10">
        <v>518928319.26000005</v>
      </c>
    </row>
    <row r="371" spans="1:25" x14ac:dyDescent="0.3">
      <c r="A371" s="7">
        <v>36069</v>
      </c>
      <c r="B371" s="2">
        <f t="shared" si="5"/>
        <v>14153</v>
      </c>
      <c r="C371" s="10">
        <v>6615012.4199999999</v>
      </c>
      <c r="D371" s="10">
        <v>86850434.959999993</v>
      </c>
      <c r="E371" s="10">
        <v>2370437.56</v>
      </c>
      <c r="F371" s="10">
        <v>8447513.7300000004</v>
      </c>
      <c r="G371" s="10">
        <v>46783823.020000003</v>
      </c>
      <c r="H371" s="10">
        <v>4646030.71</v>
      </c>
      <c r="I371" s="10">
        <v>7882104.4699999997</v>
      </c>
      <c r="J371" s="10">
        <v>1284685.1200000001</v>
      </c>
      <c r="K371" s="10">
        <v>12886822.890000001</v>
      </c>
      <c r="L371" s="10">
        <v>908056.65</v>
      </c>
      <c r="M371" s="10">
        <v>2466920.61</v>
      </c>
      <c r="N371" s="10">
        <v>222202.74</v>
      </c>
      <c r="O371" s="34">
        <v>16862881.039999999</v>
      </c>
      <c r="P371" s="34">
        <v>15460183.85</v>
      </c>
      <c r="Q371" s="34" t="s">
        <v>25</v>
      </c>
      <c r="R371" s="10">
        <v>2501278.9500000002</v>
      </c>
      <c r="S371" s="10">
        <v>357747878.42000002</v>
      </c>
      <c r="T371" s="10">
        <v>13471157.029999999</v>
      </c>
      <c r="U371" s="10">
        <v>39224</v>
      </c>
      <c r="V371" s="10">
        <v>19219.16</v>
      </c>
      <c r="W371" s="25">
        <v>0</v>
      </c>
      <c r="X371" s="34"/>
      <c r="Y371" s="10">
        <v>587465867.32999992</v>
      </c>
    </row>
    <row r="372" spans="1:25" x14ac:dyDescent="0.3">
      <c r="A372" s="7">
        <v>36100</v>
      </c>
      <c r="B372" s="2">
        <f t="shared" si="5"/>
        <v>14184</v>
      </c>
      <c r="C372" s="10">
        <v>337878.44</v>
      </c>
      <c r="D372" s="10">
        <v>15818068.35</v>
      </c>
      <c r="E372" s="10">
        <v>19476.349999999999</v>
      </c>
      <c r="F372" s="10">
        <v>5618836.6699999999</v>
      </c>
      <c r="G372" s="10">
        <v>44098190.979999997</v>
      </c>
      <c r="H372" s="10">
        <v>4494609.7</v>
      </c>
      <c r="I372" s="10">
        <v>6009738.6399999997</v>
      </c>
      <c r="J372" s="10">
        <v>1163151.3400000001</v>
      </c>
      <c r="K372" s="10">
        <v>10655339.66</v>
      </c>
      <c r="L372" s="10">
        <v>753831.06</v>
      </c>
      <c r="M372" s="10">
        <v>2772393.99</v>
      </c>
      <c r="N372" s="10">
        <v>149541.82</v>
      </c>
      <c r="O372" s="34">
        <v>13531922.59</v>
      </c>
      <c r="P372" s="34">
        <v>16060149.15</v>
      </c>
      <c r="Q372" s="34" t="s">
        <v>25</v>
      </c>
      <c r="R372" s="10">
        <v>2332502.0299999998</v>
      </c>
      <c r="S372" s="10">
        <v>355374486.06</v>
      </c>
      <c r="T372" s="10">
        <v>12922463.880000001</v>
      </c>
      <c r="U372" s="10">
        <v>56504</v>
      </c>
      <c r="V372" s="10">
        <v>16608.13</v>
      </c>
      <c r="W372" s="25">
        <v>1383.96</v>
      </c>
      <c r="X372" s="34"/>
      <c r="Y372" s="10">
        <v>492187076.80000001</v>
      </c>
    </row>
    <row r="373" spans="1:25" x14ac:dyDescent="0.3">
      <c r="A373" s="7">
        <v>36130</v>
      </c>
      <c r="B373" s="2">
        <f t="shared" si="5"/>
        <v>14214</v>
      </c>
      <c r="C373" s="10">
        <v>12061600.67</v>
      </c>
      <c r="D373" s="10">
        <v>55110407.600000001</v>
      </c>
      <c r="E373" s="10">
        <v>3492363.98</v>
      </c>
      <c r="F373" s="10">
        <v>7455909.7300000004</v>
      </c>
      <c r="G373" s="10">
        <v>44451710.630000003</v>
      </c>
      <c r="H373" s="10">
        <v>4669730.78</v>
      </c>
      <c r="I373" s="10">
        <v>8560167.8900000006</v>
      </c>
      <c r="J373" s="10">
        <v>1387377.8</v>
      </c>
      <c r="K373" s="10">
        <v>10333992.539999999</v>
      </c>
      <c r="L373" s="10">
        <v>839875.09</v>
      </c>
      <c r="M373" s="10">
        <v>2368050.16</v>
      </c>
      <c r="N373" s="10">
        <v>296628.76</v>
      </c>
      <c r="O373" s="34">
        <v>12292131.869999999</v>
      </c>
      <c r="P373" s="34">
        <v>15394129.199999999</v>
      </c>
      <c r="Q373" s="34" t="s">
        <v>25</v>
      </c>
      <c r="R373" s="10">
        <v>2644341.2400000002</v>
      </c>
      <c r="S373" s="10">
        <v>345367326.50999999</v>
      </c>
      <c r="T373" s="10">
        <v>11442937.529999999</v>
      </c>
      <c r="U373" s="10">
        <v>49091</v>
      </c>
      <c r="V373" s="10">
        <v>14071.47</v>
      </c>
      <c r="W373" s="25">
        <v>787.5</v>
      </c>
      <c r="X373" s="34"/>
      <c r="Y373" s="10">
        <v>538232631.95000005</v>
      </c>
    </row>
    <row r="374" spans="1:25" x14ac:dyDescent="0.3">
      <c r="A374" s="7">
        <v>36161</v>
      </c>
      <c r="B374" s="2">
        <f t="shared" si="5"/>
        <v>14245</v>
      </c>
      <c r="C374" s="10">
        <v>-9971612.1600000001</v>
      </c>
      <c r="D374" s="10">
        <v>81890506.109999999</v>
      </c>
      <c r="E374" s="10">
        <v>3198265.52</v>
      </c>
      <c r="F374" s="10">
        <v>5109861.8600000003</v>
      </c>
      <c r="G374" s="10">
        <v>49310904.109999999</v>
      </c>
      <c r="H374" s="10">
        <v>4675898.22</v>
      </c>
      <c r="I374" s="10">
        <v>5834264.9199999999</v>
      </c>
      <c r="J374" s="10">
        <v>1408832.95</v>
      </c>
      <c r="K374" s="10">
        <v>11535398.83</v>
      </c>
      <c r="L374" s="10">
        <v>777144.16</v>
      </c>
      <c r="M374" s="10">
        <v>3009564.72</v>
      </c>
      <c r="N374" s="10">
        <v>227200.4</v>
      </c>
      <c r="O374" s="34">
        <v>17945879.460000001</v>
      </c>
      <c r="P374" s="34">
        <v>15464368.140000001</v>
      </c>
      <c r="Q374" s="34" t="s">
        <v>25</v>
      </c>
      <c r="R374" s="10">
        <v>3668382.35</v>
      </c>
      <c r="S374" s="10">
        <v>436989636.51999998</v>
      </c>
      <c r="T374" s="10">
        <v>10172383.91</v>
      </c>
      <c r="U374" s="10">
        <v>48458.22</v>
      </c>
      <c r="V374" s="10">
        <v>12514.18</v>
      </c>
      <c r="W374" s="25">
        <v>0</v>
      </c>
      <c r="X374" s="34"/>
      <c r="Y374" s="10">
        <v>641307852.41999996</v>
      </c>
    </row>
    <row r="375" spans="1:25" x14ac:dyDescent="0.3">
      <c r="A375" s="7">
        <v>36192</v>
      </c>
      <c r="B375" s="2">
        <f t="shared" si="5"/>
        <v>14276</v>
      </c>
      <c r="C375" s="10">
        <v>24869245.780000001</v>
      </c>
      <c r="D375" s="10">
        <v>4077193.62</v>
      </c>
      <c r="E375" s="10">
        <v>1499743.15</v>
      </c>
      <c r="F375" s="10">
        <v>6864797.3799999999</v>
      </c>
      <c r="G375" s="10">
        <v>43733071.57</v>
      </c>
      <c r="H375" s="10">
        <v>4440406.47</v>
      </c>
      <c r="I375" s="10">
        <v>5868907.3300000001</v>
      </c>
      <c r="J375" s="10">
        <v>1120845.08</v>
      </c>
      <c r="K375" s="10">
        <v>16968170.899999999</v>
      </c>
      <c r="L375" s="10">
        <v>859818.32</v>
      </c>
      <c r="M375" s="10">
        <v>2346498.16</v>
      </c>
      <c r="N375" s="10">
        <v>219398.45</v>
      </c>
      <c r="O375" s="34">
        <v>11031827.48</v>
      </c>
      <c r="P375" s="34">
        <v>16263607.93</v>
      </c>
      <c r="Q375" s="34" t="s">
        <v>25</v>
      </c>
      <c r="R375" s="10">
        <v>1796365.76</v>
      </c>
      <c r="S375" s="10">
        <v>314372009.44999999</v>
      </c>
      <c r="T375" s="10">
        <v>11533833.99</v>
      </c>
      <c r="U375" s="10">
        <v>42466</v>
      </c>
      <c r="V375" s="10">
        <v>15078.08</v>
      </c>
      <c r="W375" s="25">
        <v>437.5</v>
      </c>
      <c r="X375" s="34"/>
      <c r="Y375" s="10">
        <v>467923722.39999998</v>
      </c>
    </row>
    <row r="376" spans="1:25" x14ac:dyDescent="0.3">
      <c r="A376" s="7">
        <v>36220</v>
      </c>
      <c r="B376" s="2">
        <f t="shared" si="5"/>
        <v>14304</v>
      </c>
      <c r="C376" s="10">
        <v>112801665.87</v>
      </c>
      <c r="D376" s="10">
        <v>28010180.109999999</v>
      </c>
      <c r="E376" s="10">
        <v>9959446.5</v>
      </c>
      <c r="F376" s="10">
        <v>6383317.1299999999</v>
      </c>
      <c r="G376" s="10">
        <v>41490873.469999999</v>
      </c>
      <c r="H376" s="10">
        <v>3218662.04</v>
      </c>
      <c r="I376" s="10">
        <v>6111504.6699999999</v>
      </c>
      <c r="J376" s="10">
        <v>1155182.25</v>
      </c>
      <c r="K376" s="10">
        <v>22570132.079999998</v>
      </c>
      <c r="L376" s="10">
        <v>1032089.9</v>
      </c>
      <c r="M376" s="10">
        <v>2545590.69</v>
      </c>
      <c r="N376" s="10">
        <v>349399.37</v>
      </c>
      <c r="O376" s="34">
        <v>9922700.8599999994</v>
      </c>
      <c r="P376" s="34">
        <v>15353951.51</v>
      </c>
      <c r="Q376" s="34" t="s">
        <v>25</v>
      </c>
      <c r="R376" s="10">
        <v>2191082.66</v>
      </c>
      <c r="S376" s="10">
        <v>322507594.54000002</v>
      </c>
      <c r="T376" s="10">
        <v>11179497.65</v>
      </c>
      <c r="U376" s="10">
        <v>50880.08</v>
      </c>
      <c r="V376" s="10">
        <v>23562.15</v>
      </c>
      <c r="W376" s="25">
        <v>437.5</v>
      </c>
      <c r="X376" s="34"/>
      <c r="Y376" s="10">
        <v>596857751.02999997</v>
      </c>
    </row>
    <row r="377" spans="1:25" x14ac:dyDescent="0.3">
      <c r="A377" s="7">
        <v>36251</v>
      </c>
      <c r="B377" s="2">
        <f t="shared" si="5"/>
        <v>14335</v>
      </c>
      <c r="C377" s="10">
        <v>124988258.52</v>
      </c>
      <c r="D377" s="10">
        <v>114980136.93000001</v>
      </c>
      <c r="E377" s="10">
        <v>131662386.40000001</v>
      </c>
      <c r="F377" s="10">
        <v>21003829.079999998</v>
      </c>
      <c r="G377" s="10">
        <v>53295176.920000002</v>
      </c>
      <c r="H377" s="10">
        <v>6298362.1799999997</v>
      </c>
      <c r="I377" s="10">
        <v>8377475.7400000002</v>
      </c>
      <c r="J377" s="10">
        <v>1415798.32</v>
      </c>
      <c r="K377" s="10">
        <v>30906556.960000001</v>
      </c>
      <c r="L377" s="10">
        <v>1010769.82</v>
      </c>
      <c r="M377" s="10">
        <v>2655971.4900000002</v>
      </c>
      <c r="N377" s="10">
        <v>269345.36</v>
      </c>
      <c r="O377" s="34">
        <v>16653386.02</v>
      </c>
      <c r="P377" s="34">
        <v>16078692.43</v>
      </c>
      <c r="Q377" s="34" t="s">
        <v>25</v>
      </c>
      <c r="R377" s="10">
        <v>2552193.73</v>
      </c>
      <c r="S377" s="10">
        <v>373759472.06</v>
      </c>
      <c r="T377" s="10">
        <v>12513498.710000001</v>
      </c>
      <c r="U377" s="10">
        <v>54099</v>
      </c>
      <c r="V377" s="10">
        <v>5984.68</v>
      </c>
      <c r="W377" s="25">
        <v>441.39</v>
      </c>
      <c r="X377" s="34"/>
      <c r="Y377" s="10">
        <v>918481835.74000001</v>
      </c>
    </row>
    <row r="378" spans="1:25" x14ac:dyDescent="0.3">
      <c r="A378" s="7">
        <v>36281</v>
      </c>
      <c r="B378" s="2">
        <f t="shared" si="5"/>
        <v>14365</v>
      </c>
      <c r="C378" s="10">
        <v>8961342.5500000007</v>
      </c>
      <c r="D378" s="10">
        <v>13929407.83</v>
      </c>
      <c r="E378" s="10">
        <v>3363775.77</v>
      </c>
      <c r="F378" s="10">
        <v>4316457.95</v>
      </c>
      <c r="G378" s="10">
        <v>46554959.380000003</v>
      </c>
      <c r="H378" s="10">
        <v>4859357.8</v>
      </c>
      <c r="I378" s="10">
        <v>5500487.7999999998</v>
      </c>
      <c r="J378" s="10">
        <v>1272383.44</v>
      </c>
      <c r="K378" s="10">
        <v>21866545</v>
      </c>
      <c r="L378" s="10">
        <v>893207.38</v>
      </c>
      <c r="M378" s="10">
        <v>2500004.12</v>
      </c>
      <c r="N378" s="10">
        <v>205604.44</v>
      </c>
      <c r="O378" s="34">
        <v>23063126.059999999</v>
      </c>
      <c r="P378" s="34">
        <v>15830340.51</v>
      </c>
      <c r="Q378" s="34" t="s">
        <v>25</v>
      </c>
      <c r="R378" s="10">
        <v>2309695.7799999998</v>
      </c>
      <c r="S378" s="10">
        <v>365512122.44</v>
      </c>
      <c r="T378" s="10">
        <v>12168349.57</v>
      </c>
      <c r="U378" s="10">
        <v>57946</v>
      </c>
      <c r="V378" s="10">
        <v>22305.77</v>
      </c>
      <c r="W378" s="25">
        <v>875</v>
      </c>
      <c r="X378" s="34"/>
      <c r="Y378" s="10">
        <v>533188294.58999997</v>
      </c>
    </row>
    <row r="379" spans="1:25" x14ac:dyDescent="0.3">
      <c r="A379" s="7">
        <v>36312</v>
      </c>
      <c r="B379" s="2">
        <f t="shared" si="5"/>
        <v>14396</v>
      </c>
      <c r="C379" s="10">
        <v>2603011.7400000002</v>
      </c>
      <c r="D379" s="10">
        <v>39972356.939999998</v>
      </c>
      <c r="E379" s="10">
        <v>1303844.07</v>
      </c>
      <c r="F379" s="10">
        <v>5055920.24</v>
      </c>
      <c r="G379" s="10">
        <v>54503009.340000004</v>
      </c>
      <c r="H379" s="10">
        <v>6086845.29</v>
      </c>
      <c r="I379" s="10">
        <v>9514315.7300000004</v>
      </c>
      <c r="J379" s="10">
        <v>1605959.87</v>
      </c>
      <c r="K379" s="10">
        <v>20163263.530000001</v>
      </c>
      <c r="L379" s="10">
        <v>1057266.27</v>
      </c>
      <c r="M379" s="10">
        <v>2757392.89</v>
      </c>
      <c r="N379" s="10">
        <v>14062663.24</v>
      </c>
      <c r="O379" s="34">
        <v>24531081.5</v>
      </c>
      <c r="P379" s="34">
        <v>15383694.130000001</v>
      </c>
      <c r="Q379" s="34" t="s">
        <v>25</v>
      </c>
      <c r="R379" s="10">
        <v>2408362.9700000002</v>
      </c>
      <c r="S379" s="10">
        <v>368493013.42000002</v>
      </c>
      <c r="T379" s="10">
        <v>12156767</v>
      </c>
      <c r="U379" s="10">
        <v>53411</v>
      </c>
      <c r="V379" s="10">
        <v>29847.42</v>
      </c>
      <c r="W379" s="25">
        <v>2450</v>
      </c>
      <c r="X379" s="34"/>
      <c r="Y379" s="10">
        <v>581744476.59000003</v>
      </c>
    </row>
    <row r="380" spans="1:25" x14ac:dyDescent="0.3">
      <c r="A380" s="7">
        <v>36342</v>
      </c>
      <c r="B380" s="2">
        <f t="shared" si="5"/>
        <v>14426</v>
      </c>
      <c r="C380" s="10">
        <v>13006596.210000001</v>
      </c>
      <c r="D380" s="10">
        <v>87504081.340000004</v>
      </c>
      <c r="E380" s="10">
        <v>1110619.47</v>
      </c>
      <c r="F380" s="10">
        <v>5324569.38</v>
      </c>
      <c r="G380" s="10">
        <v>47989748.920000002</v>
      </c>
      <c r="H380" s="10">
        <v>5276572.1500000004</v>
      </c>
      <c r="I380" s="10">
        <v>6673154.5800000001</v>
      </c>
      <c r="J380" s="10">
        <v>1364391.47</v>
      </c>
      <c r="K380" s="10">
        <v>16018525.720000001</v>
      </c>
      <c r="L380" s="10">
        <v>911690.5</v>
      </c>
      <c r="M380" s="10">
        <v>2594152.12</v>
      </c>
      <c r="N380" s="10">
        <v>864603.46</v>
      </c>
      <c r="O380" s="34">
        <v>17919713.309999999</v>
      </c>
      <c r="P380" s="34">
        <v>21074940.23</v>
      </c>
      <c r="Q380" s="34" t="s">
        <v>25</v>
      </c>
      <c r="R380" s="10">
        <v>2577818.91</v>
      </c>
      <c r="S380" s="10">
        <v>394767988.06999999</v>
      </c>
      <c r="T380" s="10">
        <v>11114815.93</v>
      </c>
      <c r="U380" s="10">
        <v>54005</v>
      </c>
      <c r="V380" s="10">
        <v>21312.01</v>
      </c>
      <c r="W380" s="25">
        <v>20785.61</v>
      </c>
      <c r="X380" s="34"/>
      <c r="Y380" s="10">
        <v>636190084.38999999</v>
      </c>
    </row>
    <row r="381" spans="1:25" x14ac:dyDescent="0.3">
      <c r="A381" s="7">
        <v>36373</v>
      </c>
      <c r="B381" s="2">
        <f t="shared" si="5"/>
        <v>14457</v>
      </c>
      <c r="C381" s="10">
        <v>5067168.09</v>
      </c>
      <c r="D381" s="10">
        <v>14674177.529999999</v>
      </c>
      <c r="E381" s="10">
        <v>1702840.39</v>
      </c>
      <c r="F381" s="10">
        <v>3774666.72</v>
      </c>
      <c r="G381" s="10">
        <v>53561936.18</v>
      </c>
      <c r="H381" s="10">
        <v>5330348.71</v>
      </c>
      <c r="I381" s="10">
        <v>7634856.1200000001</v>
      </c>
      <c r="J381" s="10">
        <v>1453396.83</v>
      </c>
      <c r="K381" s="10">
        <v>16230991.220000001</v>
      </c>
      <c r="L381" s="10">
        <v>877305.65</v>
      </c>
      <c r="M381" s="10">
        <v>2645586.29</v>
      </c>
      <c r="N381" s="10">
        <v>412028.2</v>
      </c>
      <c r="O381" s="34">
        <v>15427649.82</v>
      </c>
      <c r="P381" s="34">
        <v>26840550.960000001</v>
      </c>
      <c r="Q381" s="34" t="s">
        <v>25</v>
      </c>
      <c r="R381" s="10">
        <v>2085298.02</v>
      </c>
      <c r="S381" s="10">
        <v>380390490.66000003</v>
      </c>
      <c r="T381" s="10">
        <v>12293798.140000001</v>
      </c>
      <c r="U381" s="10">
        <v>46437.1</v>
      </c>
      <c r="V381" s="10">
        <v>23715.5</v>
      </c>
      <c r="W381" s="25">
        <v>19345.54</v>
      </c>
      <c r="X381" s="34"/>
      <c r="Y381" s="10">
        <v>550492587.67000008</v>
      </c>
    </row>
    <row r="382" spans="1:25" x14ac:dyDescent="0.3">
      <c r="A382" s="7">
        <v>36404</v>
      </c>
      <c r="B382" s="2">
        <f t="shared" si="5"/>
        <v>14488</v>
      </c>
      <c r="C382" s="10">
        <v>14576613.73</v>
      </c>
      <c r="D382" s="10">
        <v>44061674.420000002</v>
      </c>
      <c r="E382" s="10">
        <v>981203.72</v>
      </c>
      <c r="F382" s="10">
        <v>12292974.75</v>
      </c>
      <c r="G382" s="10">
        <v>50154396.549999997</v>
      </c>
      <c r="H382" s="10">
        <v>5106754.9800000004</v>
      </c>
      <c r="I382" s="10">
        <v>7510873.4800000004</v>
      </c>
      <c r="J382" s="10">
        <v>1549651.37</v>
      </c>
      <c r="K382" s="10">
        <v>17039947.940000001</v>
      </c>
      <c r="L382" s="10">
        <v>1009106.75</v>
      </c>
      <c r="M382" s="10">
        <v>2621619.88</v>
      </c>
      <c r="N382" s="10">
        <v>469055.44</v>
      </c>
      <c r="O382" s="34">
        <v>12426667.039999999</v>
      </c>
      <c r="P382" s="34">
        <v>20817687.899999999</v>
      </c>
      <c r="Q382" s="34" t="s">
        <v>25</v>
      </c>
      <c r="R382" s="10">
        <v>2192432.06</v>
      </c>
      <c r="S382" s="10">
        <v>383749646.02999997</v>
      </c>
      <c r="T382" s="10">
        <v>12885045.4</v>
      </c>
      <c r="U382" s="10">
        <v>48742</v>
      </c>
      <c r="V382" s="10">
        <v>23705.77</v>
      </c>
      <c r="W382" s="25">
        <v>3900.18</v>
      </c>
      <c r="X382" s="34"/>
      <c r="Y382" s="10">
        <v>589521699.38999987</v>
      </c>
    </row>
    <row r="383" spans="1:25" x14ac:dyDescent="0.3">
      <c r="A383" s="7">
        <v>36434</v>
      </c>
      <c r="B383" s="2">
        <f t="shared" si="5"/>
        <v>14518</v>
      </c>
      <c r="C383" s="10">
        <v>12289004.01</v>
      </c>
      <c r="D383" s="10">
        <v>80591490.790000007</v>
      </c>
      <c r="E383" s="10">
        <v>2750318.07</v>
      </c>
      <c r="F383" s="10">
        <v>6358582.5700000003</v>
      </c>
      <c r="G383" s="10">
        <v>52078226.759999998</v>
      </c>
      <c r="H383" s="10">
        <v>5343722.53</v>
      </c>
      <c r="I383" s="10">
        <v>5880762.6799999997</v>
      </c>
      <c r="J383" s="10">
        <v>1165140.3700000001</v>
      </c>
      <c r="K383" s="10">
        <v>12700362.619999999</v>
      </c>
      <c r="L383" s="10">
        <v>905500.78</v>
      </c>
      <c r="M383" s="10">
        <v>2445245.6</v>
      </c>
      <c r="N383" s="10">
        <v>2222444.42</v>
      </c>
      <c r="O383" s="34">
        <v>17043771.010000002</v>
      </c>
      <c r="P383" s="34">
        <v>16291871.42</v>
      </c>
      <c r="Q383" s="34" t="s">
        <v>25</v>
      </c>
      <c r="R383" s="10">
        <v>2414084.14</v>
      </c>
      <c r="S383" s="10">
        <v>385510627.64999998</v>
      </c>
      <c r="T383" s="10">
        <v>12554333.050000001</v>
      </c>
      <c r="U383" s="10">
        <v>49494.9</v>
      </c>
      <c r="V383" s="10">
        <v>10697.14</v>
      </c>
      <c r="W383" s="25">
        <v>0</v>
      </c>
      <c r="X383" s="34"/>
      <c r="Y383" s="10">
        <v>618605680.50999987</v>
      </c>
    </row>
    <row r="384" spans="1:25" x14ac:dyDescent="0.3">
      <c r="A384" s="7">
        <v>36465</v>
      </c>
      <c r="B384" s="2">
        <f t="shared" si="5"/>
        <v>14549</v>
      </c>
      <c r="C384" s="10">
        <v>498921.16</v>
      </c>
      <c r="D384" s="10">
        <v>-165152.04</v>
      </c>
      <c r="E384" s="10">
        <v>-741891.73</v>
      </c>
      <c r="F384" s="10">
        <v>4941664.47</v>
      </c>
      <c r="G384" s="10">
        <v>44008961.670000002</v>
      </c>
      <c r="H384" s="10">
        <v>4832879.07</v>
      </c>
      <c r="I384" s="10">
        <v>6859286.1600000001</v>
      </c>
      <c r="J384" s="10">
        <v>1174244.05</v>
      </c>
      <c r="K384" s="10">
        <v>12788538.27</v>
      </c>
      <c r="L384" s="10">
        <v>809124.21</v>
      </c>
      <c r="M384" s="10">
        <v>2913350.43</v>
      </c>
      <c r="N384" s="10">
        <v>199810.57</v>
      </c>
      <c r="O384" s="34">
        <v>11864625.939999999</v>
      </c>
      <c r="P384" s="34">
        <v>16208541.52</v>
      </c>
      <c r="Q384" s="34" t="s">
        <v>25</v>
      </c>
      <c r="R384" s="10">
        <v>2473557.7999999998</v>
      </c>
      <c r="S384" s="10">
        <v>371160268.42000002</v>
      </c>
      <c r="T384" s="10">
        <v>13077742.83</v>
      </c>
      <c r="U384" s="10">
        <v>58574.64</v>
      </c>
      <c r="V384" s="10">
        <v>34235.760000000002</v>
      </c>
      <c r="W384" s="25">
        <v>-4</v>
      </c>
      <c r="X384" s="34"/>
      <c r="Y384" s="10">
        <v>492997279.19999999</v>
      </c>
    </row>
    <row r="385" spans="1:25" x14ac:dyDescent="0.3">
      <c r="A385" s="7">
        <v>36495</v>
      </c>
      <c r="B385" s="2">
        <f t="shared" si="5"/>
        <v>14579</v>
      </c>
      <c r="C385" s="10">
        <v>20764196.52</v>
      </c>
      <c r="D385" s="10">
        <v>54901592.520000003</v>
      </c>
      <c r="E385" s="10">
        <v>3325477.75</v>
      </c>
      <c r="F385" s="10">
        <v>8623864.3000000007</v>
      </c>
      <c r="G385" s="10">
        <v>48379929.140000001</v>
      </c>
      <c r="H385" s="10">
        <v>5143043.08</v>
      </c>
      <c r="I385" s="10">
        <v>7668937.0800000001</v>
      </c>
      <c r="J385" s="10">
        <v>1359579.74</v>
      </c>
      <c r="K385" s="10">
        <v>11308268.140000001</v>
      </c>
      <c r="L385" s="10">
        <v>846320.92</v>
      </c>
      <c r="M385" s="10">
        <v>2543028.4300000002</v>
      </c>
      <c r="N385" s="10">
        <v>336586.76</v>
      </c>
      <c r="O385" s="34">
        <v>13009873.130000001</v>
      </c>
      <c r="P385" s="34">
        <v>15738189.32</v>
      </c>
      <c r="Q385" s="34" t="s">
        <v>25</v>
      </c>
      <c r="R385" s="10">
        <v>2417085.9</v>
      </c>
      <c r="S385" s="10">
        <v>366029467.26999998</v>
      </c>
      <c r="T385" s="10">
        <v>12927062.01</v>
      </c>
      <c r="U385" s="10">
        <v>14667</v>
      </c>
      <c r="V385" s="10">
        <v>25400.34</v>
      </c>
      <c r="W385" s="25">
        <v>0</v>
      </c>
      <c r="X385" s="34"/>
      <c r="Y385" s="10">
        <v>575362569.35000002</v>
      </c>
    </row>
    <row r="386" spans="1:25" x14ac:dyDescent="0.3">
      <c r="A386" s="7">
        <v>36526</v>
      </c>
      <c r="B386" s="2">
        <f t="shared" ref="B386:B458" si="6">A386-21916</f>
        <v>14610</v>
      </c>
      <c r="C386" s="10">
        <v>12261629.560000001</v>
      </c>
      <c r="D386" s="10">
        <v>83981778.620000005</v>
      </c>
      <c r="E386" s="10">
        <v>4782666.83</v>
      </c>
      <c r="F386" s="10">
        <v>2717137.18</v>
      </c>
      <c r="G386" s="10">
        <v>47443634.549999997</v>
      </c>
      <c r="H386" s="10">
        <v>4962077.71</v>
      </c>
      <c r="I386" s="10">
        <v>5664327.7599999998</v>
      </c>
      <c r="J386" s="10">
        <v>1307920.68</v>
      </c>
      <c r="K386" s="10">
        <v>13506138.800000001</v>
      </c>
      <c r="L386" s="10">
        <v>880753.15</v>
      </c>
      <c r="M386" s="10">
        <v>2882543.64</v>
      </c>
      <c r="N386" s="10">
        <v>752877.6</v>
      </c>
      <c r="O386" s="34">
        <v>15359266.84</v>
      </c>
      <c r="P386" s="34">
        <v>16212693.34</v>
      </c>
      <c r="Q386" s="34" t="s">
        <v>25</v>
      </c>
      <c r="R386" s="10">
        <v>3797138.58</v>
      </c>
      <c r="S386" s="10">
        <v>469335867.83999997</v>
      </c>
      <c r="T386" s="10">
        <v>11772731.9</v>
      </c>
      <c r="U386" s="10">
        <v>86844</v>
      </c>
      <c r="V386" s="10">
        <v>35888.26</v>
      </c>
      <c r="W386" s="25">
        <v>0</v>
      </c>
      <c r="X386" s="34"/>
      <c r="Y386" s="10">
        <v>697743916.84000003</v>
      </c>
    </row>
    <row r="387" spans="1:25" x14ac:dyDescent="0.3">
      <c r="A387" s="7">
        <v>36557</v>
      </c>
      <c r="B387" s="2">
        <f t="shared" si="6"/>
        <v>14641</v>
      </c>
      <c r="C387" s="10">
        <v>7363633.8899999997</v>
      </c>
      <c r="D387" s="10">
        <v>8482296.4100000001</v>
      </c>
      <c r="E387" s="10">
        <v>2225214.9</v>
      </c>
      <c r="F387" s="10">
        <v>8122425.4299999997</v>
      </c>
      <c r="G387" s="10">
        <v>48733710.939999998</v>
      </c>
      <c r="H387" s="10">
        <v>5108316.41</v>
      </c>
      <c r="I387" s="10">
        <v>6832136.2300000004</v>
      </c>
      <c r="J387" s="10">
        <v>1168382.27</v>
      </c>
      <c r="K387" s="10">
        <v>16019243.780000001</v>
      </c>
      <c r="L387" s="10">
        <v>834345.9</v>
      </c>
      <c r="M387" s="10">
        <v>2537237.81</v>
      </c>
      <c r="N387" s="10">
        <v>218769.88</v>
      </c>
      <c r="O387" s="34">
        <v>10836858.289999999</v>
      </c>
      <c r="P387" s="34">
        <v>16265869.18</v>
      </c>
      <c r="Q387" s="34" t="s">
        <v>25</v>
      </c>
      <c r="R387" s="10">
        <v>1865792.5</v>
      </c>
      <c r="S387" s="10">
        <v>326299207.51999998</v>
      </c>
      <c r="T387" s="10">
        <v>13032785.789999999</v>
      </c>
      <c r="U387" s="10">
        <v>38814</v>
      </c>
      <c r="V387" s="10">
        <v>47767.32</v>
      </c>
      <c r="W387" s="25">
        <v>-700</v>
      </c>
      <c r="X387" s="34"/>
      <c r="Y387" s="10">
        <v>476032108.44999999</v>
      </c>
    </row>
    <row r="388" spans="1:25" x14ac:dyDescent="0.3">
      <c r="A388" s="7">
        <v>36586</v>
      </c>
      <c r="B388" s="2">
        <f t="shared" si="6"/>
        <v>14670</v>
      </c>
      <c r="C388" s="10">
        <v>138307151.74000001</v>
      </c>
      <c r="D388" s="10">
        <v>41071006.020000003</v>
      </c>
      <c r="E388" s="10">
        <v>10482510.970000001</v>
      </c>
      <c r="F388" s="10">
        <v>8723677.4399999995</v>
      </c>
      <c r="G388" s="10">
        <v>44627137.539999999</v>
      </c>
      <c r="H388" s="10">
        <v>5151901.33</v>
      </c>
      <c r="I388" s="10">
        <v>7125057.2699999996</v>
      </c>
      <c r="J388" s="10">
        <v>1279155.21</v>
      </c>
      <c r="K388" s="10">
        <v>28374340.039999999</v>
      </c>
      <c r="L388" s="10">
        <v>1154422.3899999999</v>
      </c>
      <c r="M388" s="10">
        <v>2656187.23</v>
      </c>
      <c r="N388" s="10">
        <v>315821.33</v>
      </c>
      <c r="O388" s="34">
        <v>11262518.369999999</v>
      </c>
      <c r="P388" s="34">
        <v>15687512.41</v>
      </c>
      <c r="Q388" s="34" t="s">
        <v>25</v>
      </c>
      <c r="R388" s="10">
        <v>2365149.6</v>
      </c>
      <c r="S388" s="10">
        <v>354064638.85000002</v>
      </c>
      <c r="T388" s="10">
        <v>12927206.51</v>
      </c>
      <c r="U388" s="10">
        <v>54341.75</v>
      </c>
      <c r="V388" s="10">
        <v>46686.2</v>
      </c>
      <c r="W388" s="25">
        <v>0</v>
      </c>
      <c r="X388" s="34"/>
      <c r="Y388" s="10">
        <v>685676422.20000017</v>
      </c>
    </row>
    <row r="389" spans="1:25" x14ac:dyDescent="0.3">
      <c r="A389" s="7">
        <v>36617</v>
      </c>
      <c r="B389" s="2">
        <f t="shared" si="6"/>
        <v>14701</v>
      </c>
      <c r="C389" s="10">
        <v>176836760.27000001</v>
      </c>
      <c r="D389" s="10">
        <v>112246430.79000001</v>
      </c>
      <c r="E389" s="10">
        <v>145433648.05000001</v>
      </c>
      <c r="F389" s="10">
        <v>23271608.739999998</v>
      </c>
      <c r="G389" s="10">
        <v>46165637.899999999</v>
      </c>
      <c r="H389" s="10">
        <v>5249193.8099999996</v>
      </c>
      <c r="I389" s="10">
        <v>5264986.74</v>
      </c>
      <c r="J389" s="10">
        <v>1482230.1</v>
      </c>
      <c r="K389" s="10">
        <v>26640614.02</v>
      </c>
      <c r="L389" s="10">
        <v>907115.52000000002</v>
      </c>
      <c r="M389" s="10">
        <v>2720790</v>
      </c>
      <c r="N389" s="10">
        <v>262285.90999999997</v>
      </c>
      <c r="O389" s="34">
        <v>14959493.310000001</v>
      </c>
      <c r="P389" s="34">
        <v>15927801.1</v>
      </c>
      <c r="Q389" s="34" t="s">
        <v>25</v>
      </c>
      <c r="R389" s="10">
        <v>2616683.59</v>
      </c>
      <c r="S389" s="10">
        <v>401775847.92000002</v>
      </c>
      <c r="T389" s="10">
        <v>15882563.23</v>
      </c>
      <c r="U389" s="10">
        <v>46892</v>
      </c>
      <c r="V389" s="10">
        <v>36229.370000000003</v>
      </c>
      <c r="W389" s="25">
        <v>704</v>
      </c>
      <c r="X389" s="34"/>
      <c r="Y389" s="10">
        <v>997727516.37</v>
      </c>
    </row>
    <row r="390" spans="1:25" x14ac:dyDescent="0.3">
      <c r="A390" s="7">
        <v>36647</v>
      </c>
      <c r="B390" s="2">
        <f t="shared" si="6"/>
        <v>14731</v>
      </c>
      <c r="C390" s="10">
        <v>21374094.219999999</v>
      </c>
      <c r="D390" s="10">
        <v>14686931.91</v>
      </c>
      <c r="E390" s="10">
        <v>3318646.73</v>
      </c>
      <c r="F390" s="10">
        <v>5050676.43</v>
      </c>
      <c r="G390" s="10">
        <v>47703260.560000002</v>
      </c>
      <c r="H390" s="10">
        <v>4450265.51</v>
      </c>
      <c r="I390" s="10">
        <v>6681863.0899999999</v>
      </c>
      <c r="J390" s="10">
        <v>1250496.8899999999</v>
      </c>
      <c r="K390" s="10">
        <v>29327115.600000001</v>
      </c>
      <c r="L390" s="10">
        <v>1010079.07</v>
      </c>
      <c r="M390" s="10">
        <v>2771496.49</v>
      </c>
      <c r="N390" s="10">
        <v>399985.24</v>
      </c>
      <c r="O390" s="34">
        <v>19672747.370000001</v>
      </c>
      <c r="P390" s="34">
        <v>16757762.57</v>
      </c>
      <c r="Q390" s="34" t="s">
        <v>25</v>
      </c>
      <c r="R390" s="10">
        <v>2376767.2200000002</v>
      </c>
      <c r="S390" s="10">
        <v>373009314.77999997</v>
      </c>
      <c r="T390" s="10">
        <v>11188315.26</v>
      </c>
      <c r="U390" s="10">
        <v>27850</v>
      </c>
      <c r="V390" s="10">
        <v>13080.86</v>
      </c>
      <c r="W390" s="25">
        <v>-3.94</v>
      </c>
      <c r="X390" s="34"/>
      <c r="Y390" s="10">
        <v>561070745.8599999</v>
      </c>
    </row>
    <row r="391" spans="1:25" x14ac:dyDescent="0.3">
      <c r="A391" s="7">
        <v>36678</v>
      </c>
      <c r="B391" s="2">
        <f t="shared" si="6"/>
        <v>14762</v>
      </c>
      <c r="C391" s="10">
        <v>71742798.730000004</v>
      </c>
      <c r="D391" s="10">
        <v>71887953.349999994</v>
      </c>
      <c r="E391" s="10">
        <v>4906494.38</v>
      </c>
      <c r="F391" s="10">
        <v>3247337.86</v>
      </c>
      <c r="G391" s="10">
        <v>46650834.630000003</v>
      </c>
      <c r="H391" s="10">
        <v>4701710.71</v>
      </c>
      <c r="I391" s="10">
        <v>8792980.0800000001</v>
      </c>
      <c r="J391" s="10">
        <v>1435813.75</v>
      </c>
      <c r="K391" s="10">
        <v>19770647.98</v>
      </c>
      <c r="L391" s="10">
        <v>946708.09</v>
      </c>
      <c r="M391" s="10">
        <v>2850067.13</v>
      </c>
      <c r="N391" s="10">
        <v>15530263.119999999</v>
      </c>
      <c r="O391" s="34">
        <v>27479375.120000001</v>
      </c>
      <c r="P391" s="34">
        <v>15795792.470000001</v>
      </c>
      <c r="Q391" s="34" t="s">
        <v>25</v>
      </c>
      <c r="R391" s="10">
        <v>2520530</v>
      </c>
      <c r="S391" s="10">
        <v>383534698.23000002</v>
      </c>
      <c r="T391" s="10">
        <v>10363993.5</v>
      </c>
      <c r="U391" s="10">
        <v>66980</v>
      </c>
      <c r="V391" s="10">
        <v>43937.38</v>
      </c>
      <c r="W391" s="25">
        <v>0</v>
      </c>
      <c r="X391" s="34"/>
      <c r="Y391" s="10">
        <v>692268916.51000011</v>
      </c>
    </row>
    <row r="392" spans="1:25" x14ac:dyDescent="0.3">
      <c r="A392" s="7">
        <v>36708</v>
      </c>
      <c r="B392" s="2">
        <f t="shared" si="6"/>
        <v>14792</v>
      </c>
      <c r="C392" s="10">
        <v>34163879.210000001</v>
      </c>
      <c r="D392" s="10">
        <v>32611356.699999999</v>
      </c>
      <c r="E392" s="10">
        <v>1066184.72</v>
      </c>
      <c r="F392" s="10">
        <v>4304227.0199999996</v>
      </c>
      <c r="G392" s="10">
        <v>47131765.899999999</v>
      </c>
      <c r="H392" s="10">
        <v>5052138.12</v>
      </c>
      <c r="I392" s="10">
        <v>6624059.5</v>
      </c>
      <c r="J392" s="10">
        <v>1503604.5</v>
      </c>
      <c r="K392" s="10">
        <v>15560001.390000001</v>
      </c>
      <c r="L392" s="10">
        <v>893283.07</v>
      </c>
      <c r="M392" s="10">
        <v>2695052.63</v>
      </c>
      <c r="N392" s="10">
        <v>900576.98</v>
      </c>
      <c r="O392" s="34">
        <v>17218031.440000001</v>
      </c>
      <c r="P392" s="34">
        <v>20998017.140000001</v>
      </c>
      <c r="Q392" s="34" t="s">
        <v>25</v>
      </c>
      <c r="R392" s="10">
        <v>2796806.18</v>
      </c>
      <c r="S392" s="10">
        <v>413471531.20999998</v>
      </c>
      <c r="T392" s="10">
        <v>13865391.68</v>
      </c>
      <c r="U392" s="10">
        <v>40408.5</v>
      </c>
      <c r="V392" s="10">
        <v>48111.839999999997</v>
      </c>
      <c r="W392" s="25">
        <v>31237.5</v>
      </c>
      <c r="X392" s="34"/>
      <c r="Y392" s="10">
        <v>620975665.23000002</v>
      </c>
    </row>
    <row r="393" spans="1:25" x14ac:dyDescent="0.3">
      <c r="A393" s="7">
        <v>36739</v>
      </c>
      <c r="B393" s="2">
        <f t="shared" si="6"/>
        <v>14823</v>
      </c>
      <c r="C393" s="10">
        <v>10669154.300000001</v>
      </c>
      <c r="D393" s="10">
        <v>15746209.57</v>
      </c>
      <c r="E393" s="10">
        <v>1379551.48</v>
      </c>
      <c r="F393" s="10">
        <v>6947584</v>
      </c>
      <c r="G393" s="10">
        <v>53034236.579999998</v>
      </c>
      <c r="H393" s="10">
        <v>5201085.6100000003</v>
      </c>
      <c r="I393" s="10">
        <v>7587256.8099999996</v>
      </c>
      <c r="J393" s="10">
        <v>1322965.07</v>
      </c>
      <c r="K393" s="10">
        <v>16981268.150000002</v>
      </c>
      <c r="L393" s="10">
        <v>1031054.68</v>
      </c>
      <c r="M393" s="10">
        <v>2753522.78</v>
      </c>
      <c r="N393" s="10">
        <v>290980.64</v>
      </c>
      <c r="O393" s="34">
        <v>12598665.49</v>
      </c>
      <c r="P393" s="34">
        <v>28588316.5</v>
      </c>
      <c r="Q393" s="34" t="s">
        <v>25</v>
      </c>
      <c r="R393" s="10">
        <v>2013658.89</v>
      </c>
      <c r="S393" s="10">
        <v>384696499.68000001</v>
      </c>
      <c r="T393" s="10">
        <v>11814294.039999999</v>
      </c>
      <c r="U393" s="10">
        <v>48995</v>
      </c>
      <c r="V393" s="10">
        <v>29898.83</v>
      </c>
      <c r="W393" s="25">
        <v>3077.5</v>
      </c>
      <c r="X393" s="34"/>
      <c r="Y393" s="10">
        <v>562738275.60000002</v>
      </c>
    </row>
    <row r="394" spans="1:25" x14ac:dyDescent="0.3">
      <c r="A394" s="7">
        <v>36770</v>
      </c>
      <c r="B394" s="2">
        <f t="shared" si="6"/>
        <v>14854</v>
      </c>
      <c r="C394" s="10">
        <v>59980251.240000002</v>
      </c>
      <c r="D394" s="10">
        <v>84595949.879999995</v>
      </c>
      <c r="E394" s="10">
        <v>945738.15</v>
      </c>
      <c r="F394" s="10">
        <v>3705521.73</v>
      </c>
      <c r="G394" s="10">
        <v>48916502</v>
      </c>
      <c r="H394" s="10">
        <v>4878314.3499999996</v>
      </c>
      <c r="I394" s="10">
        <v>7400081.5999999996</v>
      </c>
      <c r="J394" s="10">
        <v>1655344.09</v>
      </c>
      <c r="K394" s="10">
        <v>15739784.600000001</v>
      </c>
      <c r="L394" s="10">
        <v>916697.65</v>
      </c>
      <c r="M394" s="10">
        <v>2679991.6</v>
      </c>
      <c r="N394" s="10">
        <v>497312.11</v>
      </c>
      <c r="O394" s="34">
        <v>13954365.960000001</v>
      </c>
      <c r="P394" s="34">
        <v>17448817.079999998</v>
      </c>
      <c r="Q394" s="34" t="s">
        <v>25</v>
      </c>
      <c r="R394" s="10">
        <v>2675262.23</v>
      </c>
      <c r="S394" s="10">
        <v>391064310.62</v>
      </c>
      <c r="T394" s="10">
        <v>12655476.08</v>
      </c>
      <c r="U394" s="10">
        <v>50269</v>
      </c>
      <c r="V394" s="10">
        <v>37701.620000000003</v>
      </c>
      <c r="W394" s="25">
        <v>2800</v>
      </c>
      <c r="X394" s="34"/>
      <c r="Y394" s="10">
        <v>669800491.59000003</v>
      </c>
    </row>
    <row r="395" spans="1:25" x14ac:dyDescent="0.3">
      <c r="A395" s="7">
        <v>36800</v>
      </c>
      <c r="B395" s="2">
        <f t="shared" si="6"/>
        <v>14884</v>
      </c>
      <c r="C395" s="10">
        <v>30371758.52</v>
      </c>
      <c r="D395" s="10">
        <v>34133132.609999999</v>
      </c>
      <c r="E395" s="10">
        <v>3429638.47</v>
      </c>
      <c r="F395" s="10">
        <v>8825298.9399999995</v>
      </c>
      <c r="G395" s="10">
        <v>45473464.399999999</v>
      </c>
      <c r="H395" s="10">
        <v>5011631.8600000003</v>
      </c>
      <c r="I395" s="10">
        <v>6170355.2599999998</v>
      </c>
      <c r="J395" s="10">
        <v>1354383.94</v>
      </c>
      <c r="K395" s="10">
        <v>14019766.390000001</v>
      </c>
      <c r="L395" s="10">
        <v>868667.09</v>
      </c>
      <c r="M395" s="10">
        <v>2807449.68</v>
      </c>
      <c r="N395" s="10">
        <v>431508.14</v>
      </c>
      <c r="O395" s="34">
        <v>14173139.42</v>
      </c>
      <c r="P395" s="34">
        <v>16969473.91</v>
      </c>
      <c r="Q395" s="34" t="s">
        <v>25</v>
      </c>
      <c r="R395" s="10">
        <v>2333022.2999999998</v>
      </c>
      <c r="S395" s="10">
        <v>400179571.47000003</v>
      </c>
      <c r="T395" s="10">
        <v>12614957.470000001</v>
      </c>
      <c r="U395" s="10">
        <v>26002</v>
      </c>
      <c r="V395" s="10">
        <v>48662.28</v>
      </c>
      <c r="W395" s="25">
        <v>16085</v>
      </c>
      <c r="X395" s="34"/>
      <c r="Y395" s="10">
        <v>599257969.14999998</v>
      </c>
    </row>
    <row r="396" spans="1:25" x14ac:dyDescent="0.3">
      <c r="A396" s="7">
        <v>36831</v>
      </c>
      <c r="B396" s="2">
        <f t="shared" si="6"/>
        <v>14915</v>
      </c>
      <c r="C396" s="10">
        <v>19220871.539999999</v>
      </c>
      <c r="D396" s="10">
        <v>-4772313.99</v>
      </c>
      <c r="E396" s="10">
        <v>220940.81</v>
      </c>
      <c r="F396" s="10">
        <v>4119037.12</v>
      </c>
      <c r="G396" s="10">
        <v>48893777.280000001</v>
      </c>
      <c r="H396" s="10">
        <v>5209160.18</v>
      </c>
      <c r="I396" s="10">
        <v>7122645.9000000004</v>
      </c>
      <c r="J396" s="10">
        <v>1278336.2</v>
      </c>
      <c r="K396" s="10">
        <v>10948755.4</v>
      </c>
      <c r="L396" s="10">
        <v>772492.25</v>
      </c>
      <c r="M396" s="10">
        <v>2835564.09</v>
      </c>
      <c r="N396" s="10">
        <v>202931.99</v>
      </c>
      <c r="O396" s="34">
        <v>13950513.4</v>
      </c>
      <c r="P396" s="34">
        <v>16928508.32</v>
      </c>
      <c r="Q396" s="34" t="s">
        <v>25</v>
      </c>
      <c r="R396" s="10">
        <v>2396459.41</v>
      </c>
      <c r="S396" s="10">
        <v>377647580.99000001</v>
      </c>
      <c r="T396" s="10">
        <v>13593148.25</v>
      </c>
      <c r="U396" s="10">
        <v>58002</v>
      </c>
      <c r="V396" s="10">
        <v>48316.87</v>
      </c>
      <c r="W396" s="25">
        <v>1312.5</v>
      </c>
      <c r="X396" s="34"/>
      <c r="Y396" s="10">
        <v>520676040.50999999</v>
      </c>
    </row>
    <row r="397" spans="1:25" x14ac:dyDescent="0.3">
      <c r="A397" s="7">
        <v>36861</v>
      </c>
      <c r="B397" s="2">
        <f t="shared" si="6"/>
        <v>14945</v>
      </c>
      <c r="C397" s="10">
        <v>31590133.91</v>
      </c>
      <c r="D397" s="10">
        <v>61439760.210000001</v>
      </c>
      <c r="E397" s="10">
        <v>3412006.36</v>
      </c>
      <c r="F397" s="10">
        <v>5975399.5099999998</v>
      </c>
      <c r="G397" s="10">
        <v>47925823.710000001</v>
      </c>
      <c r="H397" s="10">
        <v>7036954.7300000004</v>
      </c>
      <c r="I397" s="10">
        <v>6852885.0899999999</v>
      </c>
      <c r="J397" s="10">
        <v>1161671.75</v>
      </c>
      <c r="K397" s="10">
        <v>8527238.9900000002</v>
      </c>
      <c r="L397" s="10">
        <v>675607.95</v>
      </c>
      <c r="M397" s="10">
        <v>2571069.83</v>
      </c>
      <c r="N397" s="10">
        <v>237281.47</v>
      </c>
      <c r="O397" s="34">
        <v>11993682.15</v>
      </c>
      <c r="P397" s="34">
        <v>16169039.01</v>
      </c>
      <c r="Q397" s="34" t="s">
        <v>25</v>
      </c>
      <c r="R397" s="10">
        <v>2971991.69</v>
      </c>
      <c r="S397" s="10">
        <v>363135135.12</v>
      </c>
      <c r="T397" s="10">
        <v>12117421.83</v>
      </c>
      <c r="U397" s="10">
        <v>46035</v>
      </c>
      <c r="V397" s="10">
        <v>50513.68</v>
      </c>
      <c r="W397" s="25">
        <v>0</v>
      </c>
      <c r="X397" s="34"/>
      <c r="Y397" s="10">
        <v>583889651.99000001</v>
      </c>
    </row>
    <row r="398" spans="1:25" x14ac:dyDescent="0.3">
      <c r="A398" s="7">
        <v>36892</v>
      </c>
      <c r="B398" s="2">
        <f t="shared" si="6"/>
        <v>14976</v>
      </c>
      <c r="C398" s="10">
        <v>53429729</v>
      </c>
      <c r="D398" s="10">
        <v>80391269.989999995</v>
      </c>
      <c r="E398" s="10">
        <v>4845479.4000000004</v>
      </c>
      <c r="F398" s="10">
        <v>7601728.7199999997</v>
      </c>
      <c r="G398" s="10">
        <v>46825480.469999999</v>
      </c>
      <c r="H398" s="10">
        <v>4790113.79</v>
      </c>
      <c r="I398" s="10">
        <v>5945930.4000000004</v>
      </c>
      <c r="J398" s="10">
        <v>1162439.19</v>
      </c>
      <c r="K398" s="10">
        <v>9203692.7699999996</v>
      </c>
      <c r="L398" s="10">
        <v>881659.5</v>
      </c>
      <c r="M398" s="10">
        <v>3389103.35</v>
      </c>
      <c r="N398" s="10">
        <v>324172.73</v>
      </c>
      <c r="O398" s="34">
        <v>15218799.43</v>
      </c>
      <c r="P398" s="34">
        <v>16596260.390000001</v>
      </c>
      <c r="Q398" s="34" t="s">
        <v>25</v>
      </c>
      <c r="R398" s="10">
        <v>3546954.78</v>
      </c>
      <c r="S398" s="10">
        <v>469862672.62</v>
      </c>
      <c r="T398" s="10">
        <v>11198921.42</v>
      </c>
      <c r="U398" s="10">
        <v>51068</v>
      </c>
      <c r="V398" s="10">
        <v>46276.13</v>
      </c>
      <c r="W398" s="25">
        <v>0</v>
      </c>
      <c r="X398" s="34"/>
      <c r="Y398" s="10">
        <v>735311752.07999992</v>
      </c>
    </row>
    <row r="399" spans="1:25" x14ac:dyDescent="0.3">
      <c r="A399" s="7">
        <v>36923</v>
      </c>
      <c r="B399" s="2">
        <f t="shared" si="6"/>
        <v>15007</v>
      </c>
      <c r="C399" s="10">
        <v>32425522.050000001</v>
      </c>
      <c r="D399" s="10">
        <v>1038007.5</v>
      </c>
      <c r="E399" s="10">
        <v>2020645.11</v>
      </c>
      <c r="F399" s="10">
        <v>4898814.5199999996</v>
      </c>
      <c r="G399" s="10">
        <v>46710594.030000001</v>
      </c>
      <c r="H399" s="10">
        <v>5225013.5999999996</v>
      </c>
      <c r="I399" s="10">
        <v>6147211.79</v>
      </c>
      <c r="J399" s="10">
        <v>1149619.22</v>
      </c>
      <c r="K399" s="10">
        <v>15054085.82</v>
      </c>
      <c r="L399" s="10">
        <v>778605.33</v>
      </c>
      <c r="M399" s="10">
        <v>2478096.9900000002</v>
      </c>
      <c r="N399" s="10">
        <v>310391.38</v>
      </c>
      <c r="O399" s="34">
        <v>10416509.630000001</v>
      </c>
      <c r="P399" s="34">
        <v>16821110.23</v>
      </c>
      <c r="Q399" s="34" t="s">
        <v>25</v>
      </c>
      <c r="R399" s="10">
        <v>1744993.95</v>
      </c>
      <c r="S399" s="10">
        <v>339969927.55000001</v>
      </c>
      <c r="T399" s="10">
        <v>11957980.52</v>
      </c>
      <c r="U399" s="10">
        <v>55203</v>
      </c>
      <c r="V399" s="10">
        <v>40459.1</v>
      </c>
      <c r="W399" s="25">
        <v>0</v>
      </c>
      <c r="X399" s="34"/>
      <c r="Y399" s="10">
        <v>499242791.31999999</v>
      </c>
    </row>
    <row r="400" spans="1:25" x14ac:dyDescent="0.3">
      <c r="A400" s="7">
        <v>36951</v>
      </c>
      <c r="B400" s="2">
        <f t="shared" si="6"/>
        <v>15035</v>
      </c>
      <c r="C400" s="10">
        <v>40050996.799999997</v>
      </c>
      <c r="D400" s="10">
        <v>60513387.439999998</v>
      </c>
      <c r="E400" s="10">
        <v>10304167.83</v>
      </c>
      <c r="F400" s="10">
        <v>8534296.1500000004</v>
      </c>
      <c r="G400" s="10">
        <v>42903723.969999999</v>
      </c>
      <c r="H400" s="10">
        <v>4318879.29</v>
      </c>
      <c r="I400" s="10">
        <v>6865900.7599999998</v>
      </c>
      <c r="J400" s="10">
        <v>1191642.03</v>
      </c>
      <c r="K400" s="10">
        <v>20645249.739999998</v>
      </c>
      <c r="L400" s="10">
        <v>1014955.75</v>
      </c>
      <c r="M400" s="10">
        <v>2844736.79</v>
      </c>
      <c r="N400" s="10">
        <v>482115.24</v>
      </c>
      <c r="O400" s="34">
        <v>10803422.65</v>
      </c>
      <c r="P400" s="34">
        <v>16177956.09</v>
      </c>
      <c r="Q400" s="34" t="s">
        <v>25</v>
      </c>
      <c r="R400" s="10">
        <v>2352614.9700000002</v>
      </c>
      <c r="S400" s="10">
        <v>344525664.88</v>
      </c>
      <c r="T400" s="10">
        <v>11495255.6</v>
      </c>
      <c r="U400" s="10">
        <v>51875.51</v>
      </c>
      <c r="V400" s="10">
        <v>45746.85</v>
      </c>
      <c r="W400" s="25">
        <v>2274.9899999999998</v>
      </c>
      <c r="X400" s="34"/>
      <c r="Y400" s="10">
        <v>585124863.33000004</v>
      </c>
    </row>
    <row r="401" spans="1:25" x14ac:dyDescent="0.3">
      <c r="A401" s="7">
        <v>36982</v>
      </c>
      <c r="B401" s="2">
        <f t="shared" si="6"/>
        <v>15066</v>
      </c>
      <c r="C401" s="10">
        <v>93122262.379999995</v>
      </c>
      <c r="D401" s="10">
        <v>200666695.53999999</v>
      </c>
      <c r="E401" s="10">
        <v>157338144.22999999</v>
      </c>
      <c r="F401" s="10">
        <v>16289593.01</v>
      </c>
      <c r="G401" s="10">
        <v>43570925.399999999</v>
      </c>
      <c r="H401" s="10">
        <v>4739487.74</v>
      </c>
      <c r="I401" s="10">
        <v>5644071.2800000003</v>
      </c>
      <c r="J401" s="10">
        <v>1176475.8899999999</v>
      </c>
      <c r="K401" s="10">
        <v>44208909.270000003</v>
      </c>
      <c r="L401" s="10">
        <v>907619.07</v>
      </c>
      <c r="M401" s="10">
        <v>3097239.05</v>
      </c>
      <c r="N401" s="10">
        <v>424129.5</v>
      </c>
      <c r="O401" s="34">
        <v>13587883.66</v>
      </c>
      <c r="P401" s="34">
        <v>16264079.9</v>
      </c>
      <c r="Q401" s="34" t="s">
        <v>25</v>
      </c>
      <c r="R401" s="10">
        <v>2525555.61</v>
      </c>
      <c r="S401" s="10">
        <v>390703100.67000002</v>
      </c>
      <c r="T401" s="10">
        <v>12801155.75</v>
      </c>
      <c r="U401" s="10">
        <v>67914</v>
      </c>
      <c r="V401" s="10">
        <v>47313.53</v>
      </c>
      <c r="W401" s="25">
        <v>263</v>
      </c>
      <c r="X401" s="34"/>
      <c r="Y401" s="10">
        <v>1007182818.4799998</v>
      </c>
    </row>
    <row r="402" spans="1:25" x14ac:dyDescent="0.3">
      <c r="A402" s="7">
        <v>37012</v>
      </c>
      <c r="B402" s="2">
        <f t="shared" si="6"/>
        <v>15096</v>
      </c>
      <c r="C402" s="10">
        <v>21215310.210000001</v>
      </c>
      <c r="D402" s="10">
        <v>12470602.289999999</v>
      </c>
      <c r="E402" s="10">
        <v>7585050</v>
      </c>
      <c r="F402" s="10">
        <v>7347936.4100000001</v>
      </c>
      <c r="G402" s="10">
        <v>49199291.560000002</v>
      </c>
      <c r="H402" s="10">
        <v>5193899.3</v>
      </c>
      <c r="I402" s="10">
        <v>8123500.4000000004</v>
      </c>
      <c r="J402" s="10">
        <v>1527870.53</v>
      </c>
      <c r="K402" s="10">
        <v>21675847.850000001</v>
      </c>
      <c r="L402" s="10">
        <v>962220.4</v>
      </c>
      <c r="M402" s="10">
        <v>3111851.31</v>
      </c>
      <c r="N402" s="10">
        <v>433076.94</v>
      </c>
      <c r="O402" s="34">
        <v>25664731.559999999</v>
      </c>
      <c r="P402" s="34">
        <v>17180332.579999998</v>
      </c>
      <c r="Q402" s="34" t="s">
        <v>25</v>
      </c>
      <c r="R402" s="10">
        <v>2570305.5499999998</v>
      </c>
      <c r="S402" s="10">
        <v>389636705.60000002</v>
      </c>
      <c r="T402" s="10">
        <v>12034103.27</v>
      </c>
      <c r="U402" s="10">
        <v>59696.73</v>
      </c>
      <c r="V402" s="10">
        <v>36273.74</v>
      </c>
      <c r="W402" s="25">
        <v>0</v>
      </c>
      <c r="X402" s="34"/>
      <c r="Y402" s="10">
        <v>586028606.23000002</v>
      </c>
    </row>
    <row r="403" spans="1:25" x14ac:dyDescent="0.3">
      <c r="A403" s="7">
        <v>37043</v>
      </c>
      <c r="B403" s="2">
        <f t="shared" si="6"/>
        <v>15127</v>
      </c>
      <c r="C403" s="10">
        <v>54002113.240000002</v>
      </c>
      <c r="D403" s="10">
        <v>94630696.549999997</v>
      </c>
      <c r="E403" s="10">
        <v>5523639.3399999999</v>
      </c>
      <c r="F403" s="10">
        <v>5590348.7999999998</v>
      </c>
      <c r="G403" s="10">
        <v>43372744.359999999</v>
      </c>
      <c r="H403" s="10">
        <v>4918857.55</v>
      </c>
      <c r="I403" s="10">
        <v>7187514.0199999996</v>
      </c>
      <c r="J403" s="10">
        <v>1534008.68</v>
      </c>
      <c r="K403" s="10">
        <v>18113118.170000002</v>
      </c>
      <c r="L403" s="10">
        <v>914214.59</v>
      </c>
      <c r="M403" s="10">
        <v>2873319.18</v>
      </c>
      <c r="N403" s="10">
        <v>17212426.239999998</v>
      </c>
      <c r="O403" s="34">
        <v>28306306.370000001</v>
      </c>
      <c r="P403" s="34">
        <v>16405369.310000001</v>
      </c>
      <c r="Q403" s="34" t="s">
        <v>25</v>
      </c>
      <c r="R403" s="10">
        <v>2662674.6</v>
      </c>
      <c r="S403" s="10">
        <v>388519526.52999997</v>
      </c>
      <c r="T403" s="10">
        <v>13007310.550000001</v>
      </c>
      <c r="U403" s="10">
        <v>43695</v>
      </c>
      <c r="V403" s="10">
        <v>52353</v>
      </c>
      <c r="W403" s="25">
        <v>1400</v>
      </c>
      <c r="X403" s="34"/>
      <c r="Y403" s="10">
        <v>704871636.07999992</v>
      </c>
    </row>
    <row r="404" spans="1:25" x14ac:dyDescent="0.3">
      <c r="A404" s="7">
        <v>37073</v>
      </c>
      <c r="B404" s="2">
        <f t="shared" si="6"/>
        <v>15157</v>
      </c>
      <c r="C404" s="10">
        <v>18963482</v>
      </c>
      <c r="D404" s="10">
        <v>6159875.21</v>
      </c>
      <c r="E404" s="10">
        <v>1547951.94</v>
      </c>
      <c r="F404" s="10">
        <v>9522631</v>
      </c>
      <c r="G404" s="10">
        <v>52594634.920000002</v>
      </c>
      <c r="H404" s="10">
        <v>4963534.62</v>
      </c>
      <c r="I404" s="10">
        <v>7559250.3899999997</v>
      </c>
      <c r="J404" s="10">
        <v>1407215</v>
      </c>
      <c r="K404" s="10">
        <v>16995085.77</v>
      </c>
      <c r="L404" s="10">
        <v>922943.25</v>
      </c>
      <c r="M404" s="10">
        <v>2896042.79</v>
      </c>
      <c r="N404" s="10">
        <v>629143.96</v>
      </c>
      <c r="O404" s="34">
        <v>19420851.73</v>
      </c>
      <c r="P404" s="34">
        <v>21234332.370000001</v>
      </c>
      <c r="Q404" s="34" t="s">
        <v>25</v>
      </c>
      <c r="R404" s="10">
        <v>2890848.7</v>
      </c>
      <c r="S404" s="10">
        <v>402784423.25999999</v>
      </c>
      <c r="T404" s="10">
        <v>11559240.109999999</v>
      </c>
      <c r="U404" s="10">
        <v>62270</v>
      </c>
      <c r="V404" s="10">
        <v>44232.35</v>
      </c>
      <c r="W404" s="25">
        <v>17850</v>
      </c>
      <c r="X404" s="34"/>
      <c r="Y404" s="10">
        <v>582175839.37</v>
      </c>
    </row>
    <row r="405" spans="1:25" x14ac:dyDescent="0.3">
      <c r="A405" s="7">
        <v>37104</v>
      </c>
      <c r="B405" s="2">
        <f t="shared" si="6"/>
        <v>15188</v>
      </c>
      <c r="C405" s="10">
        <v>13464981.779999999</v>
      </c>
      <c r="D405" s="10">
        <v>3789925.66</v>
      </c>
      <c r="E405" s="10">
        <v>2223953.48</v>
      </c>
      <c r="F405" s="10">
        <v>7325075.0300000003</v>
      </c>
      <c r="G405" s="10">
        <v>50602453.170000002</v>
      </c>
      <c r="H405" s="10">
        <v>7567551.8899999997</v>
      </c>
      <c r="I405" s="10">
        <v>7830858.1100000003</v>
      </c>
      <c r="J405" s="10">
        <v>1382623.3</v>
      </c>
      <c r="K405" s="10">
        <v>15830912.07</v>
      </c>
      <c r="L405" s="10">
        <v>980054.99</v>
      </c>
      <c r="M405" s="10">
        <v>2803328.82</v>
      </c>
      <c r="N405" s="10">
        <v>303021.96999999997</v>
      </c>
      <c r="O405" s="34">
        <v>14008447.15</v>
      </c>
      <c r="P405" s="34">
        <v>29333997</v>
      </c>
      <c r="Q405" s="34" t="s">
        <v>25</v>
      </c>
      <c r="R405" s="10">
        <v>2049044.65</v>
      </c>
      <c r="S405" s="10">
        <v>381549506.18000001</v>
      </c>
      <c r="T405" s="10">
        <v>37463273.520000003</v>
      </c>
      <c r="U405" s="10">
        <v>50942.18</v>
      </c>
      <c r="V405" s="10">
        <v>50665.79</v>
      </c>
      <c r="W405" s="25">
        <v>5250</v>
      </c>
      <c r="X405" s="34"/>
      <c r="Y405" s="10">
        <v>578615866.73999989</v>
      </c>
    </row>
    <row r="406" spans="1:25" x14ac:dyDescent="0.3">
      <c r="A406" s="7">
        <v>37135</v>
      </c>
      <c r="B406" s="2">
        <f t="shared" si="6"/>
        <v>15219</v>
      </c>
      <c r="C406" s="10">
        <v>57485495.479999997</v>
      </c>
      <c r="D406" s="10">
        <v>85797254.620000005</v>
      </c>
      <c r="E406" s="10">
        <v>1140211.92</v>
      </c>
      <c r="F406" s="10">
        <v>3752331.51</v>
      </c>
      <c r="G406" s="10">
        <v>45751522.810000002</v>
      </c>
      <c r="H406" s="10">
        <v>5393921.8200000003</v>
      </c>
      <c r="I406" s="10">
        <v>6281212.5300000003</v>
      </c>
      <c r="J406" s="10">
        <v>1312122.5</v>
      </c>
      <c r="K406" s="10">
        <v>15540672.23</v>
      </c>
      <c r="L406" s="10">
        <v>795490.25</v>
      </c>
      <c r="M406" s="10">
        <v>2808811.44</v>
      </c>
      <c r="N406" s="10">
        <v>460289.81</v>
      </c>
      <c r="O406" s="34">
        <v>15674616.119999999</v>
      </c>
      <c r="P406" s="34">
        <v>18520399.210000001</v>
      </c>
      <c r="Q406" s="34" t="s">
        <v>25</v>
      </c>
      <c r="R406" s="10">
        <v>2573533.98</v>
      </c>
      <c r="S406" s="10">
        <v>385760535.88999999</v>
      </c>
      <c r="T406" s="10">
        <v>10906607.32</v>
      </c>
      <c r="U406" s="10">
        <v>63638.94</v>
      </c>
      <c r="V406" s="10">
        <v>36345.050000000003</v>
      </c>
      <c r="W406" s="25">
        <v>2100</v>
      </c>
      <c r="X406" s="34"/>
      <c r="Y406" s="10">
        <v>660057113.42999995</v>
      </c>
    </row>
    <row r="407" spans="1:25" x14ac:dyDescent="0.3">
      <c r="A407" s="7">
        <v>37165</v>
      </c>
      <c r="B407" s="2">
        <f t="shared" si="6"/>
        <v>15249</v>
      </c>
      <c r="C407" s="10">
        <v>9749621.0700000003</v>
      </c>
      <c r="D407" s="10">
        <v>-17202968.719999999</v>
      </c>
      <c r="E407" s="10">
        <v>3828303.24</v>
      </c>
      <c r="F407" s="10">
        <v>13575227.84</v>
      </c>
      <c r="G407" s="10">
        <v>46533141.030000001</v>
      </c>
      <c r="H407" s="10">
        <v>4497657.3899999997</v>
      </c>
      <c r="I407" s="10">
        <v>7245732.8899999997</v>
      </c>
      <c r="J407" s="10">
        <v>1552403.98</v>
      </c>
      <c r="K407" s="10">
        <v>15563316.619999999</v>
      </c>
      <c r="L407" s="10">
        <v>915160.74</v>
      </c>
      <c r="M407" s="10">
        <v>2808865.26</v>
      </c>
      <c r="N407" s="10">
        <v>434763.24</v>
      </c>
      <c r="O407" s="34">
        <v>16937120.170000002</v>
      </c>
      <c r="P407" s="34">
        <v>16961488.059999999</v>
      </c>
      <c r="Q407" s="34" t="s">
        <v>25</v>
      </c>
      <c r="R407" s="10">
        <v>2208683.2799999998</v>
      </c>
      <c r="S407" s="10">
        <v>385617655.56999999</v>
      </c>
      <c r="T407" s="10">
        <v>11740039.43</v>
      </c>
      <c r="U407" s="10">
        <v>53069</v>
      </c>
      <c r="V407" s="10">
        <v>62122.26</v>
      </c>
      <c r="W407" s="25">
        <v>1575</v>
      </c>
      <c r="X407" s="34"/>
      <c r="Y407" s="10">
        <v>523082977.34999996</v>
      </c>
    </row>
    <row r="408" spans="1:25" x14ac:dyDescent="0.3">
      <c r="A408" s="7">
        <v>37196</v>
      </c>
      <c r="B408" s="2">
        <f t="shared" si="6"/>
        <v>15280</v>
      </c>
      <c r="C408" s="10">
        <v>43522514.979999989</v>
      </c>
      <c r="D408" s="10">
        <v>1963047.34</v>
      </c>
      <c r="E408" s="10">
        <v>-1322834.17</v>
      </c>
      <c r="F408" s="10">
        <v>5660565.4100000001</v>
      </c>
      <c r="G408" s="10">
        <v>50097794.039999999</v>
      </c>
      <c r="H408" s="10">
        <v>4729168.8600000003</v>
      </c>
      <c r="I408" s="10">
        <v>6587649</v>
      </c>
      <c r="J408" s="10">
        <v>1302531.3700000001</v>
      </c>
      <c r="K408" s="10">
        <v>15322135.609999999</v>
      </c>
      <c r="L408" s="10">
        <v>787646.64</v>
      </c>
      <c r="M408" s="10">
        <v>3013418.9</v>
      </c>
      <c r="N408" s="10">
        <v>180197.33</v>
      </c>
      <c r="O408" s="34">
        <v>14584232.779999999</v>
      </c>
      <c r="P408" s="34">
        <v>17037296.25</v>
      </c>
      <c r="Q408" s="34" t="s">
        <v>25</v>
      </c>
      <c r="R408" s="10">
        <v>2512380.0699999998</v>
      </c>
      <c r="S408" s="10">
        <v>375095421.75999999</v>
      </c>
      <c r="T408" s="10">
        <v>15496584.42</v>
      </c>
      <c r="U408" s="10">
        <v>61681.05</v>
      </c>
      <c r="V408" s="10">
        <v>26830.44</v>
      </c>
      <c r="W408" s="25">
        <v>0</v>
      </c>
      <c r="X408" s="34"/>
      <c r="Y408" s="10">
        <v>556658262.07999992</v>
      </c>
    </row>
    <row r="409" spans="1:25" x14ac:dyDescent="0.3">
      <c r="A409" s="7">
        <v>37226</v>
      </c>
      <c r="B409" s="2">
        <f t="shared" si="6"/>
        <v>15310</v>
      </c>
      <c r="C409" s="10">
        <v>29504527.57</v>
      </c>
      <c r="D409" s="10">
        <v>39549288.420000002</v>
      </c>
      <c r="E409" s="10">
        <v>4681206.37</v>
      </c>
      <c r="F409" s="10">
        <v>6345211.1299999999</v>
      </c>
      <c r="G409" s="10">
        <v>43007581</v>
      </c>
      <c r="H409" s="10">
        <v>4547593.88</v>
      </c>
      <c r="I409" s="10">
        <v>6412570.1299999999</v>
      </c>
      <c r="J409" s="10">
        <v>1106979.3999999999</v>
      </c>
      <c r="K409" s="10">
        <v>11627892.9</v>
      </c>
      <c r="L409" s="10">
        <v>773369.21</v>
      </c>
      <c r="M409" s="10">
        <v>2923737.27</v>
      </c>
      <c r="N409" s="10">
        <v>787817.81</v>
      </c>
      <c r="O409" s="34">
        <v>13470866.189999999</v>
      </c>
      <c r="P409" s="34">
        <v>16714627.35</v>
      </c>
      <c r="Q409" s="34" t="s">
        <v>25</v>
      </c>
      <c r="R409" s="10">
        <v>3011347.65</v>
      </c>
      <c r="S409" s="10">
        <v>380591972.85000002</v>
      </c>
      <c r="T409" s="10">
        <v>12731499.970000001</v>
      </c>
      <c r="U409" s="10">
        <v>64170</v>
      </c>
      <c r="V409" s="10">
        <v>15632.59</v>
      </c>
      <c r="W409" s="25">
        <v>0</v>
      </c>
      <c r="X409" s="34"/>
      <c r="Y409" s="10">
        <v>577867891.69000018</v>
      </c>
    </row>
    <row r="410" spans="1:25" x14ac:dyDescent="0.3">
      <c r="A410" s="7">
        <v>37257</v>
      </c>
      <c r="B410" s="2">
        <f t="shared" si="6"/>
        <v>15341</v>
      </c>
      <c r="C410" s="10">
        <v>46691623.409999996</v>
      </c>
      <c r="D410" s="10">
        <v>83590507.700000003</v>
      </c>
      <c r="E410" s="10">
        <v>3077720.25</v>
      </c>
      <c r="F410" s="10">
        <v>7266449.3399999999</v>
      </c>
      <c r="G410" s="10">
        <v>52573858.700000003</v>
      </c>
      <c r="H410" s="10">
        <v>5188861.26</v>
      </c>
      <c r="I410" s="10">
        <v>7265093.6299999999</v>
      </c>
      <c r="J410" s="10">
        <v>1162929.27</v>
      </c>
      <c r="K410" s="10">
        <v>15286260.199999999</v>
      </c>
      <c r="L410" s="10">
        <v>898022</v>
      </c>
      <c r="M410" s="10">
        <v>3467277.29</v>
      </c>
      <c r="N410" s="10">
        <v>72212.55</v>
      </c>
      <c r="O410" s="34">
        <v>17959514.129999999</v>
      </c>
      <c r="P410" s="34">
        <v>16870272.68</v>
      </c>
      <c r="Q410" s="34" t="s">
        <v>25</v>
      </c>
      <c r="R410" s="10">
        <v>3478803.85</v>
      </c>
      <c r="S410" s="10">
        <v>474206390.06999999</v>
      </c>
      <c r="T410" s="10">
        <v>12776535.560000001</v>
      </c>
      <c r="U410" s="10">
        <v>54939</v>
      </c>
      <c r="V410" s="10">
        <v>22029.73</v>
      </c>
      <c r="W410" s="25">
        <v>300</v>
      </c>
      <c r="X410" s="34"/>
      <c r="Y410" s="10">
        <v>751909600.61999989</v>
      </c>
    </row>
    <row r="411" spans="1:25" x14ac:dyDescent="0.3">
      <c r="A411" s="7">
        <v>37288</v>
      </c>
      <c r="B411" s="2">
        <f t="shared" si="6"/>
        <v>15372</v>
      </c>
      <c r="C411" s="10">
        <v>5663165.9800000004</v>
      </c>
      <c r="D411" s="10">
        <v>7172399.4100000001</v>
      </c>
      <c r="E411" s="10">
        <v>1741212.58</v>
      </c>
      <c r="F411" s="10">
        <v>9112247.1799999997</v>
      </c>
      <c r="G411" s="10">
        <v>48676215.030000001</v>
      </c>
      <c r="H411" s="10">
        <v>4948096.8</v>
      </c>
      <c r="I411" s="10">
        <v>6521389.8899999997</v>
      </c>
      <c r="J411" s="10">
        <v>1269670.27</v>
      </c>
      <c r="K411" s="10">
        <v>20117059.559999999</v>
      </c>
      <c r="L411" s="10">
        <v>821903.68</v>
      </c>
      <c r="M411" s="10">
        <v>2722749.49</v>
      </c>
      <c r="N411" s="10">
        <v>461339.79</v>
      </c>
      <c r="O411" s="34">
        <v>12847602.76</v>
      </c>
      <c r="P411" s="34">
        <v>791338.89999999851</v>
      </c>
      <c r="Q411" s="34">
        <v>16543634</v>
      </c>
      <c r="R411" s="10">
        <v>1991064.77</v>
      </c>
      <c r="S411" s="10">
        <v>340001595.91000003</v>
      </c>
      <c r="T411" s="10">
        <v>11772474.58</v>
      </c>
      <c r="U411" s="10">
        <v>72519</v>
      </c>
      <c r="V411" s="10">
        <v>26714.04</v>
      </c>
      <c r="W411" s="25">
        <v>0</v>
      </c>
      <c r="X411" s="34"/>
      <c r="Y411" s="10">
        <v>493274393.62</v>
      </c>
    </row>
    <row r="412" spans="1:25" x14ac:dyDescent="0.3">
      <c r="A412" s="7">
        <v>37316</v>
      </c>
      <c r="B412" s="2">
        <f t="shared" si="6"/>
        <v>15400</v>
      </c>
      <c r="C412" s="10">
        <v>30740743.829999998</v>
      </c>
      <c r="D412" s="10">
        <v>45241687.689999998</v>
      </c>
      <c r="E412" s="10">
        <v>6763110.0199999996</v>
      </c>
      <c r="F412" s="10">
        <v>5898596.4400000004</v>
      </c>
      <c r="G412" s="10">
        <v>39637723.829999998</v>
      </c>
      <c r="H412" s="10">
        <v>4211003.33</v>
      </c>
      <c r="I412" s="10">
        <v>5734591.8600000003</v>
      </c>
      <c r="J412" s="10">
        <v>1250433.75</v>
      </c>
      <c r="K412" s="10">
        <v>21066042.98</v>
      </c>
      <c r="L412" s="10">
        <v>918989.3</v>
      </c>
      <c r="M412" s="10">
        <v>2922202.91</v>
      </c>
      <c r="N412" s="10">
        <v>694837.18</v>
      </c>
      <c r="O412" s="34">
        <v>12177395.060000001</v>
      </c>
      <c r="P412" s="34">
        <v>-692.21000000089407</v>
      </c>
      <c r="Q412" s="34">
        <v>16543634</v>
      </c>
      <c r="R412" s="10">
        <v>2334782.59</v>
      </c>
      <c r="S412" s="10">
        <v>349315430.29000002</v>
      </c>
      <c r="T412" s="10">
        <v>13346842.710000001</v>
      </c>
      <c r="U412" s="10">
        <v>63081.1</v>
      </c>
      <c r="V412" s="10">
        <v>20227.8</v>
      </c>
      <c r="W412" s="25">
        <v>3150</v>
      </c>
      <c r="X412" s="34"/>
      <c r="Y412" s="10">
        <v>558883814.46000004</v>
      </c>
    </row>
    <row r="413" spans="1:25" x14ac:dyDescent="0.3">
      <c r="A413" s="7">
        <v>37347</v>
      </c>
      <c r="B413" s="2">
        <f t="shared" si="6"/>
        <v>15431</v>
      </c>
      <c r="C413" s="10">
        <v>100850303.94</v>
      </c>
      <c r="D413" s="10">
        <v>140662912.97</v>
      </c>
      <c r="E413" s="10">
        <v>115567016.97</v>
      </c>
      <c r="F413" s="10">
        <v>12564917.789999999</v>
      </c>
      <c r="G413" s="10">
        <v>44124578.439999998</v>
      </c>
      <c r="H413" s="10">
        <v>4842937.8600000003</v>
      </c>
      <c r="I413" s="10">
        <v>7306921.2800000003</v>
      </c>
      <c r="J413" s="10">
        <v>1411000.28</v>
      </c>
      <c r="K413" s="10">
        <v>28052224.82</v>
      </c>
      <c r="L413" s="10">
        <v>970719.38</v>
      </c>
      <c r="M413" s="10">
        <v>3295287.2</v>
      </c>
      <c r="N413" s="10">
        <v>284944.2</v>
      </c>
      <c r="O413" s="34">
        <v>17691579.719999999</v>
      </c>
      <c r="P413" s="34">
        <v>274306.16000000015</v>
      </c>
      <c r="Q413" s="34">
        <v>16543634</v>
      </c>
      <c r="R413" s="10">
        <v>2659852.0699999998</v>
      </c>
      <c r="S413" s="10">
        <v>394184741.06999999</v>
      </c>
      <c r="T413" s="10">
        <v>10455039.4</v>
      </c>
      <c r="U413" s="10">
        <v>69471</v>
      </c>
      <c r="V413" s="10">
        <v>36119</v>
      </c>
      <c r="W413" s="25">
        <v>437.5</v>
      </c>
      <c r="X413" s="34"/>
      <c r="Y413" s="10">
        <v>901848945.04999983</v>
      </c>
    </row>
    <row r="414" spans="1:25" x14ac:dyDescent="0.3">
      <c r="A414" s="7">
        <v>37377</v>
      </c>
      <c r="B414" s="2">
        <f t="shared" si="6"/>
        <v>15461</v>
      </c>
      <c r="C414" s="10">
        <v>14288748.449999999</v>
      </c>
      <c r="D414" s="10">
        <v>19048892.489999998</v>
      </c>
      <c r="E414" s="10">
        <v>4508750.59</v>
      </c>
      <c r="F414" s="10">
        <v>11416221.26</v>
      </c>
      <c r="G414" s="10">
        <v>51328241.030000001</v>
      </c>
      <c r="H414" s="10">
        <v>5170431.93</v>
      </c>
      <c r="I414" s="10">
        <v>6777098.7300000004</v>
      </c>
      <c r="J414" s="10">
        <v>1400106.65</v>
      </c>
      <c r="K414" s="10">
        <v>23950741.329999998</v>
      </c>
      <c r="L414" s="10">
        <v>944763.5</v>
      </c>
      <c r="M414" s="10">
        <v>2913019.96</v>
      </c>
      <c r="N414" s="10">
        <v>290493.71000000002</v>
      </c>
      <c r="O414" s="34">
        <v>29893022.02</v>
      </c>
      <c r="P414" s="34">
        <v>429929.21999999881</v>
      </c>
      <c r="Q414" s="34">
        <v>16543634</v>
      </c>
      <c r="R414" s="10">
        <v>2424806.4300000002</v>
      </c>
      <c r="S414" s="10">
        <v>385745752.24000001</v>
      </c>
      <c r="T414" s="10">
        <v>15311141.24</v>
      </c>
      <c r="U414" s="10">
        <v>57448</v>
      </c>
      <c r="V414" s="10">
        <v>11819.25</v>
      </c>
      <c r="W414" s="25">
        <v>0</v>
      </c>
      <c r="X414" s="34"/>
      <c r="Y414" s="10">
        <v>592455062.03000009</v>
      </c>
    </row>
    <row r="415" spans="1:25" x14ac:dyDescent="0.3">
      <c r="A415" s="7">
        <v>37408</v>
      </c>
      <c r="B415" s="2">
        <f t="shared" si="6"/>
        <v>15492</v>
      </c>
      <c r="C415" s="10">
        <v>49842593.560000002</v>
      </c>
      <c r="D415" s="10">
        <v>87203862.670000002</v>
      </c>
      <c r="E415" s="10">
        <v>2536810.58</v>
      </c>
      <c r="F415" s="10">
        <v>7605864.9800000004</v>
      </c>
      <c r="G415" s="10">
        <v>54279851.82</v>
      </c>
      <c r="H415" s="10">
        <v>5169659.37</v>
      </c>
      <c r="I415" s="10">
        <v>8050636.1799999997</v>
      </c>
      <c r="J415" s="10">
        <v>1400190.21</v>
      </c>
      <c r="K415" s="10">
        <v>22081375.420000002</v>
      </c>
      <c r="L415" s="10">
        <v>910922.92</v>
      </c>
      <c r="M415" s="10">
        <v>3133428.22</v>
      </c>
      <c r="N415" s="10">
        <v>16640318.369999999</v>
      </c>
      <c r="O415" s="34">
        <v>24190470.609999999</v>
      </c>
      <c r="P415" s="34">
        <v>189445.66000000015</v>
      </c>
      <c r="Q415" s="34">
        <v>16543634</v>
      </c>
      <c r="R415" s="10">
        <v>2897251.01</v>
      </c>
      <c r="S415" s="10">
        <v>391483330.02999997</v>
      </c>
      <c r="T415" s="10">
        <v>10470929.460000001</v>
      </c>
      <c r="U415" s="10">
        <v>66353</v>
      </c>
      <c r="V415" s="10">
        <v>27544.87</v>
      </c>
      <c r="W415" s="25">
        <v>700</v>
      </c>
      <c r="X415" s="34"/>
      <c r="Y415" s="10">
        <v>704725172.94000006</v>
      </c>
    </row>
    <row r="416" spans="1:25" x14ac:dyDescent="0.3">
      <c r="A416" s="7">
        <v>37438</v>
      </c>
      <c r="B416" s="2">
        <f t="shared" si="6"/>
        <v>15522</v>
      </c>
      <c r="C416" s="10">
        <v>29470014.18</v>
      </c>
      <c r="D416" s="10">
        <v>40320598.289999999</v>
      </c>
      <c r="E416" s="10">
        <v>-212644.15</v>
      </c>
      <c r="F416" s="10">
        <v>6898711.7800000003</v>
      </c>
      <c r="G416" s="10">
        <v>50299054.950000003</v>
      </c>
      <c r="H416" s="10">
        <v>5357491.72</v>
      </c>
      <c r="I416" s="10">
        <v>9757065.7899999991</v>
      </c>
      <c r="J416" s="10">
        <v>1210867.6100000001</v>
      </c>
      <c r="K416" s="10">
        <v>16798189.989999998</v>
      </c>
      <c r="L416" s="10">
        <v>928961.83</v>
      </c>
      <c r="M416" s="10">
        <v>2921934.39</v>
      </c>
      <c r="N416" s="10">
        <v>483667.87</v>
      </c>
      <c r="O416" s="34">
        <v>18433502.739999998</v>
      </c>
      <c r="P416" s="34">
        <v>7533445.370000001</v>
      </c>
      <c r="Q416" s="34">
        <v>16543634</v>
      </c>
      <c r="R416" s="10">
        <v>2549756.13</v>
      </c>
      <c r="S416" s="10">
        <v>411117470.79000002</v>
      </c>
      <c r="T416" s="10">
        <v>15286401.220000001</v>
      </c>
      <c r="U416" s="10">
        <v>51953</v>
      </c>
      <c r="V416" s="10">
        <v>49094.75</v>
      </c>
      <c r="W416" s="25">
        <v>0</v>
      </c>
      <c r="X416" s="34"/>
      <c r="Y416" s="10">
        <v>635799172.25000012</v>
      </c>
    </row>
    <row r="417" spans="1:25" x14ac:dyDescent="0.3">
      <c r="A417" s="7">
        <v>37469</v>
      </c>
      <c r="B417" s="2">
        <f t="shared" si="6"/>
        <v>15553</v>
      </c>
      <c r="C417" s="10">
        <v>12675208.380000001</v>
      </c>
      <c r="D417" s="10">
        <v>8043819.5999999996</v>
      </c>
      <c r="E417" s="10">
        <v>-614718.81000000006</v>
      </c>
      <c r="F417" s="10">
        <v>14355758.58</v>
      </c>
      <c r="G417" s="10">
        <v>54178750.869999997</v>
      </c>
      <c r="H417" s="10">
        <v>5308214.34</v>
      </c>
      <c r="I417" s="10">
        <v>7308807.54</v>
      </c>
      <c r="J417" s="10">
        <v>1448023.15</v>
      </c>
      <c r="K417" s="10">
        <v>15718867.460000001</v>
      </c>
      <c r="L417" s="10">
        <v>928696.23</v>
      </c>
      <c r="M417" s="10">
        <v>3007244.75</v>
      </c>
      <c r="N417" s="10">
        <v>372902.79</v>
      </c>
      <c r="O417" s="34">
        <v>14348694.560000001</v>
      </c>
      <c r="P417" s="34">
        <v>10062171.130000003</v>
      </c>
      <c r="Q417" s="34">
        <v>16543634</v>
      </c>
      <c r="R417" s="10">
        <v>1950839.36</v>
      </c>
      <c r="S417" s="10">
        <v>421658290.73000002</v>
      </c>
      <c r="T417" s="10">
        <v>15569936.52</v>
      </c>
      <c r="U417" s="10">
        <v>48074</v>
      </c>
      <c r="V417" s="10">
        <v>15241.29</v>
      </c>
      <c r="W417" s="25">
        <v>10370</v>
      </c>
      <c r="X417" s="34"/>
      <c r="Y417" s="10">
        <v>602938826.47000003</v>
      </c>
    </row>
    <row r="418" spans="1:25" x14ac:dyDescent="0.3">
      <c r="A418" s="7">
        <v>37500</v>
      </c>
      <c r="B418" s="2">
        <f t="shared" si="6"/>
        <v>15584</v>
      </c>
      <c r="C418" s="10">
        <v>69816481.629999995</v>
      </c>
      <c r="D418" s="10">
        <v>95973370.989999995</v>
      </c>
      <c r="E418" s="10">
        <v>833586.32</v>
      </c>
      <c r="F418" s="10">
        <v>5584320.9199999999</v>
      </c>
      <c r="G418" s="10">
        <v>51969597.75</v>
      </c>
      <c r="H418" s="10">
        <v>5284698.7699999996</v>
      </c>
      <c r="I418" s="10">
        <v>9862546.3699999992</v>
      </c>
      <c r="J418" s="10">
        <v>1140190.1599999999</v>
      </c>
      <c r="K418" s="10">
        <v>16054834.359999999</v>
      </c>
      <c r="L418" s="10">
        <v>922982.51</v>
      </c>
      <c r="M418" s="10">
        <v>3238969.73</v>
      </c>
      <c r="N418" s="10">
        <v>168964.49</v>
      </c>
      <c r="O418" s="34">
        <v>14929478.67</v>
      </c>
      <c r="P418" s="34">
        <v>-74111.219999998808</v>
      </c>
      <c r="Q418" s="34">
        <v>18022363.870000001</v>
      </c>
      <c r="R418" s="10">
        <v>3147245.29</v>
      </c>
      <c r="S418" s="10">
        <v>463618697.24000001</v>
      </c>
      <c r="T418" s="10">
        <v>10411039.73</v>
      </c>
      <c r="U418" s="10">
        <v>59866</v>
      </c>
      <c r="V418" s="10">
        <v>51822.91</v>
      </c>
      <c r="W418" s="25">
        <v>221880</v>
      </c>
      <c r="X418" s="34"/>
      <c r="Y418" s="10">
        <v>771238826.48999989</v>
      </c>
    </row>
    <row r="419" spans="1:25" x14ac:dyDescent="0.3">
      <c r="A419" s="7">
        <v>37530</v>
      </c>
      <c r="B419" s="2">
        <f t="shared" si="6"/>
        <v>15614</v>
      </c>
      <c r="C419" s="10">
        <v>49292975.990000002</v>
      </c>
      <c r="D419" s="10">
        <v>-55845915.759999998</v>
      </c>
      <c r="E419" s="10">
        <v>997490.5</v>
      </c>
      <c r="F419" s="10">
        <v>5421183.8899999997</v>
      </c>
      <c r="G419" s="10">
        <v>56177898.939999998</v>
      </c>
      <c r="H419" s="10">
        <v>5458771.29</v>
      </c>
      <c r="I419" s="10">
        <v>9407523.8300000001</v>
      </c>
      <c r="J419" s="10">
        <v>1960587.79</v>
      </c>
      <c r="K419" s="10">
        <v>17195762.32</v>
      </c>
      <c r="L419" s="10">
        <v>1071587.28</v>
      </c>
      <c r="M419" s="10">
        <v>2921928.37</v>
      </c>
      <c r="N419" s="10">
        <v>856061.99</v>
      </c>
      <c r="O419" s="34">
        <v>18625648.530000001</v>
      </c>
      <c r="P419" s="34">
        <v>110644.03999999911</v>
      </c>
      <c r="Q419" s="34">
        <v>16407251.300000001</v>
      </c>
      <c r="R419" s="10">
        <v>2495602.5299999998</v>
      </c>
      <c r="S419" s="10">
        <v>452548471.52999997</v>
      </c>
      <c r="T419" s="10">
        <v>14897762.439999999</v>
      </c>
      <c r="U419" s="10">
        <v>50232</v>
      </c>
      <c r="V419" s="10">
        <v>33563.379999999997</v>
      </c>
      <c r="W419" s="25">
        <v>103510</v>
      </c>
      <c r="X419" s="34"/>
      <c r="Y419" s="10">
        <v>600188542.18000007</v>
      </c>
    </row>
    <row r="420" spans="1:25" x14ac:dyDescent="0.3">
      <c r="A420" s="7">
        <v>37561</v>
      </c>
      <c r="B420" s="2">
        <f t="shared" si="6"/>
        <v>15645</v>
      </c>
      <c r="C420" s="10">
        <v>13385106.27</v>
      </c>
      <c r="D420" s="10">
        <v>2749247.23</v>
      </c>
      <c r="E420" s="10">
        <v>579348.64</v>
      </c>
      <c r="F420" s="10">
        <v>8372151.7300000004</v>
      </c>
      <c r="G420" s="10">
        <v>46069359.049999997</v>
      </c>
      <c r="H420" s="10">
        <v>4808261.8899999997</v>
      </c>
      <c r="I420" s="10">
        <v>8922827.5299999993</v>
      </c>
      <c r="J420" s="10">
        <v>1691845.05</v>
      </c>
      <c r="K420" s="10">
        <v>14409350.300000001</v>
      </c>
      <c r="L420" s="10">
        <v>733262.38</v>
      </c>
      <c r="M420" s="10">
        <v>3101937.09</v>
      </c>
      <c r="N420" s="10">
        <v>-1164632.77</v>
      </c>
      <c r="O420" s="34">
        <v>16551172.939999999</v>
      </c>
      <c r="P420" s="34">
        <v>126447.51999999955</v>
      </c>
      <c r="Q420" s="34">
        <v>16407251.300000001</v>
      </c>
      <c r="R420" s="10">
        <v>2901681.69</v>
      </c>
      <c r="S420" s="10">
        <v>444703021.25999999</v>
      </c>
      <c r="T420" s="10">
        <v>15423429.01</v>
      </c>
      <c r="U420" s="10">
        <v>50005</v>
      </c>
      <c r="V420" s="10">
        <v>38437.379999999997</v>
      </c>
      <c r="W420" s="25">
        <v>42909.89</v>
      </c>
      <c r="X420" s="34"/>
      <c r="Y420" s="10">
        <v>599902420.38</v>
      </c>
    </row>
    <row r="421" spans="1:25" x14ac:dyDescent="0.3">
      <c r="A421" s="7">
        <v>37591</v>
      </c>
      <c r="B421" s="2">
        <f t="shared" si="6"/>
        <v>15675</v>
      </c>
      <c r="C421" s="10">
        <v>36329546.869999997</v>
      </c>
      <c r="D421" s="10">
        <v>62091488.049999997</v>
      </c>
      <c r="E421" s="10">
        <v>3531993.31</v>
      </c>
      <c r="F421" s="10">
        <v>4406254.43</v>
      </c>
      <c r="G421" s="10">
        <v>52572054.189999998</v>
      </c>
      <c r="H421" s="10">
        <v>5204985.9000000004</v>
      </c>
      <c r="I421" s="10">
        <v>10244836.300000001</v>
      </c>
      <c r="J421" s="10">
        <v>1329020.03</v>
      </c>
      <c r="K421" s="10">
        <v>13431910.289999999</v>
      </c>
      <c r="L421" s="10">
        <v>838147.95</v>
      </c>
      <c r="M421" s="10">
        <v>3288507.47</v>
      </c>
      <c r="N421" s="10">
        <v>292872.34000000003</v>
      </c>
      <c r="O421" s="34">
        <v>14932408.98</v>
      </c>
      <c r="P421" s="34">
        <v>82423.660000000149</v>
      </c>
      <c r="Q421" s="34">
        <v>16407251.300000001</v>
      </c>
      <c r="R421" s="10">
        <v>3102668.17</v>
      </c>
      <c r="S421" s="10">
        <v>441746320.00999999</v>
      </c>
      <c r="T421" s="10">
        <v>12256593.27</v>
      </c>
      <c r="U421" s="10">
        <v>43405</v>
      </c>
      <c r="V421" s="10">
        <v>33765.629999999997</v>
      </c>
      <c r="W421" s="25">
        <v>13730</v>
      </c>
      <c r="X421" s="34"/>
      <c r="Y421" s="10">
        <v>682180183.14999998</v>
      </c>
    </row>
    <row r="422" spans="1:25" x14ac:dyDescent="0.3">
      <c r="A422" s="7">
        <v>37622</v>
      </c>
      <c r="B422" s="2">
        <f t="shared" si="6"/>
        <v>15706</v>
      </c>
      <c r="C422" s="10">
        <v>39139988.909999996</v>
      </c>
      <c r="D422" s="10">
        <v>76048764.680000007</v>
      </c>
      <c r="E422" s="10">
        <v>2284932.71</v>
      </c>
      <c r="F422" s="10">
        <v>3960179.78</v>
      </c>
      <c r="G422" s="10">
        <v>47767578.509999998</v>
      </c>
      <c r="H422" s="10">
        <v>4852099.8</v>
      </c>
      <c r="I422" s="10">
        <v>8932188.4600000009</v>
      </c>
      <c r="J422" s="10">
        <v>1379048.11</v>
      </c>
      <c r="K422" s="10">
        <v>13245326.07</v>
      </c>
      <c r="L422" s="10">
        <v>840251.18</v>
      </c>
      <c r="M422" s="10">
        <v>3281598.28</v>
      </c>
      <c r="N422" s="10">
        <v>413815.53</v>
      </c>
      <c r="O422" s="34">
        <v>19891077.050000001</v>
      </c>
      <c r="P422" s="34">
        <v>120215.05000000075</v>
      </c>
      <c r="Q422" s="34">
        <v>16407251.300000001</v>
      </c>
      <c r="R422" s="10">
        <v>4254803.63</v>
      </c>
      <c r="S422" s="10">
        <v>556289928</v>
      </c>
      <c r="T422" s="10">
        <v>8424266.4399999995</v>
      </c>
      <c r="U422" s="10">
        <v>50701</v>
      </c>
      <c r="V422" s="10">
        <v>42216.61</v>
      </c>
      <c r="W422" s="25">
        <v>14999.71</v>
      </c>
      <c r="X422" s="34"/>
      <c r="Y422" s="10">
        <v>807641230.81000018</v>
      </c>
    </row>
    <row r="423" spans="1:25" x14ac:dyDescent="0.3">
      <c r="A423" s="7">
        <v>37653</v>
      </c>
      <c r="B423" s="2">
        <f t="shared" si="6"/>
        <v>15737</v>
      </c>
      <c r="C423" s="10">
        <v>7305234.0199999996</v>
      </c>
      <c r="D423" s="10">
        <v>17969738.649999999</v>
      </c>
      <c r="E423" s="10">
        <v>1113909.57</v>
      </c>
      <c r="F423" s="10">
        <v>4362893.33</v>
      </c>
      <c r="G423" s="10">
        <v>50213275.469999999</v>
      </c>
      <c r="H423" s="10">
        <v>5122526.5999999996</v>
      </c>
      <c r="I423" s="10">
        <v>9540855.1799999997</v>
      </c>
      <c r="J423" s="10">
        <v>1368230.7</v>
      </c>
      <c r="K423" s="10">
        <v>20012452.52</v>
      </c>
      <c r="L423" s="10">
        <v>790824.01</v>
      </c>
      <c r="M423" s="10">
        <v>2859935.06</v>
      </c>
      <c r="N423" s="10">
        <v>317464.59999999998</v>
      </c>
      <c r="O423" s="34">
        <v>14798482.6</v>
      </c>
      <c r="P423" s="34">
        <v>173732.66999999993</v>
      </c>
      <c r="Q423" s="34">
        <v>16407251.300000001</v>
      </c>
      <c r="R423" s="10">
        <v>2234411.35</v>
      </c>
      <c r="S423" s="10">
        <v>396631594.08999997</v>
      </c>
      <c r="T423" s="10">
        <v>15964287.83</v>
      </c>
      <c r="U423" s="10">
        <v>53316</v>
      </c>
      <c r="V423" s="10">
        <v>47628.44</v>
      </c>
      <c r="W423" s="25">
        <v>16193.95</v>
      </c>
      <c r="X423" s="34"/>
      <c r="Y423" s="10">
        <v>567304237.94000018</v>
      </c>
    </row>
    <row r="424" spans="1:25" x14ac:dyDescent="0.3">
      <c r="A424" s="7">
        <v>37681</v>
      </c>
      <c r="B424" s="2">
        <f t="shared" si="6"/>
        <v>15765</v>
      </c>
      <c r="C424" s="10">
        <v>32084704.399999999</v>
      </c>
      <c r="D424" s="10">
        <v>53130356.100000001</v>
      </c>
      <c r="E424" s="10">
        <v>8379515.0899999999</v>
      </c>
      <c r="F424" s="10">
        <v>5174264.34</v>
      </c>
      <c r="G424" s="10">
        <v>38438259.079999998</v>
      </c>
      <c r="H424" s="10">
        <v>4164702.16</v>
      </c>
      <c r="I424" s="10">
        <v>9249463.7599999998</v>
      </c>
      <c r="J424" s="10">
        <v>1388816.39</v>
      </c>
      <c r="K424" s="10">
        <v>30190478.620000001</v>
      </c>
      <c r="L424" s="10">
        <v>999595.2</v>
      </c>
      <c r="M424" s="10">
        <v>2997211.29</v>
      </c>
      <c r="N424" s="10">
        <v>2123464.0699999998</v>
      </c>
      <c r="O424" s="34">
        <v>13689258.039999999</v>
      </c>
      <c r="P424" s="34">
        <v>-12131.330000000075</v>
      </c>
      <c r="Q424" s="34">
        <v>16407251.300000001</v>
      </c>
      <c r="R424" s="10">
        <v>2612083.31</v>
      </c>
      <c r="S424" s="10">
        <v>402418350.68000001</v>
      </c>
      <c r="T424" s="10">
        <v>10083488.24</v>
      </c>
      <c r="U424" s="10">
        <v>44621</v>
      </c>
      <c r="V424" s="10">
        <v>39804.81</v>
      </c>
      <c r="W424" s="25">
        <v>3780</v>
      </c>
      <c r="X424" s="34"/>
      <c r="Y424" s="10">
        <v>633607336.54999995</v>
      </c>
    </row>
    <row r="425" spans="1:25" x14ac:dyDescent="0.3">
      <c r="A425" s="7">
        <v>37712</v>
      </c>
      <c r="B425" s="2">
        <f t="shared" si="6"/>
        <v>15796</v>
      </c>
      <c r="C425" s="10">
        <v>113700465.43000001</v>
      </c>
      <c r="D425" s="10">
        <v>169754320.34</v>
      </c>
      <c r="E425" s="10">
        <v>93172952.349999994</v>
      </c>
      <c r="F425" s="10">
        <v>14804164.34</v>
      </c>
      <c r="G425" s="10">
        <v>42583861.609999999</v>
      </c>
      <c r="H425" s="10">
        <v>4500039.78</v>
      </c>
      <c r="I425" s="10">
        <v>9674913.0600000005</v>
      </c>
      <c r="J425" s="10">
        <v>1449199.1</v>
      </c>
      <c r="K425" s="10">
        <v>25981397.57</v>
      </c>
      <c r="L425" s="10">
        <v>940051.2</v>
      </c>
      <c r="M425" s="10">
        <v>3859365.95</v>
      </c>
      <c r="N425" s="10">
        <v>531456.63</v>
      </c>
      <c r="O425" s="34">
        <v>18473978.260000002</v>
      </c>
      <c r="P425" s="34">
        <v>101272.1099999994</v>
      </c>
      <c r="Q425" s="34">
        <v>16407251.300000001</v>
      </c>
      <c r="R425" s="10">
        <v>2787323.22</v>
      </c>
      <c r="S425" s="10">
        <v>467830246.26999998</v>
      </c>
      <c r="T425" s="10">
        <v>12903996.85</v>
      </c>
      <c r="U425" s="10">
        <v>45086</v>
      </c>
      <c r="V425" s="10">
        <v>54175.8</v>
      </c>
      <c r="W425" s="25">
        <v>7120</v>
      </c>
      <c r="X425" s="34"/>
      <c r="Y425" s="10">
        <v>999562637.16999996</v>
      </c>
    </row>
    <row r="426" spans="1:25" x14ac:dyDescent="0.3">
      <c r="A426" s="7">
        <v>37742</v>
      </c>
      <c r="B426" s="2">
        <f t="shared" si="6"/>
        <v>15826</v>
      </c>
      <c r="C426" s="10">
        <v>19724349.34</v>
      </c>
      <c r="D426" s="10">
        <v>26330002.960000001</v>
      </c>
      <c r="E426" s="10">
        <v>3507652.76</v>
      </c>
      <c r="F426" s="10">
        <v>6034701.4100000001</v>
      </c>
      <c r="G426" s="10">
        <v>53419356.710000001</v>
      </c>
      <c r="H426" s="10">
        <v>5261749.8899999997</v>
      </c>
      <c r="I426" s="10">
        <v>10347204.310000001</v>
      </c>
      <c r="J426" s="10">
        <v>1497177.09</v>
      </c>
      <c r="K426" s="10">
        <v>23542655.199999999</v>
      </c>
      <c r="L426" s="10">
        <v>898220.05</v>
      </c>
      <c r="M426" s="10">
        <v>3165186.44</v>
      </c>
      <c r="N426" s="10">
        <v>506554.65</v>
      </c>
      <c r="O426" s="34">
        <v>42054163.039999999</v>
      </c>
      <c r="P426" s="34">
        <v>170458.68999999948</v>
      </c>
      <c r="Q426" s="34">
        <v>16407251.300000001</v>
      </c>
      <c r="R426" s="10">
        <v>2915409.04</v>
      </c>
      <c r="S426" s="10">
        <v>451473038.73000002</v>
      </c>
      <c r="T426" s="10">
        <v>14172256.4</v>
      </c>
      <c r="U426" s="10">
        <v>56628</v>
      </c>
      <c r="V426" s="10">
        <v>48423.91</v>
      </c>
      <c r="W426" s="25">
        <v>3520</v>
      </c>
      <c r="X426" s="34"/>
      <c r="Y426" s="10">
        <v>681535959.91999996</v>
      </c>
    </row>
    <row r="427" spans="1:25" x14ac:dyDescent="0.3">
      <c r="A427" s="7">
        <v>37773</v>
      </c>
      <c r="B427" s="2">
        <f t="shared" si="6"/>
        <v>15857</v>
      </c>
      <c r="C427" s="10">
        <v>66654629.979999997</v>
      </c>
      <c r="D427" s="10">
        <v>116376711.09999999</v>
      </c>
      <c r="E427" s="10">
        <v>2018032.45</v>
      </c>
      <c r="F427" s="10">
        <v>6032430.3099999996</v>
      </c>
      <c r="G427" s="10">
        <v>55025007.350000001</v>
      </c>
      <c r="H427" s="10">
        <v>5482571.5199999996</v>
      </c>
      <c r="I427" s="10">
        <v>10676806.74</v>
      </c>
      <c r="J427" s="10">
        <v>1659053.71</v>
      </c>
      <c r="K427" s="10">
        <v>19741028.579999998</v>
      </c>
      <c r="L427" s="10">
        <v>973626.35</v>
      </c>
      <c r="M427" s="10">
        <v>3554789.35</v>
      </c>
      <c r="N427" s="10">
        <v>33838429</v>
      </c>
      <c r="O427" s="34">
        <v>37679663.219999999</v>
      </c>
      <c r="P427" s="34">
        <v>38655.179999999702</v>
      </c>
      <c r="Q427" s="34">
        <v>16407251.300000001</v>
      </c>
      <c r="R427" s="10">
        <v>3299217.4</v>
      </c>
      <c r="S427" s="10">
        <v>469216137.69999999</v>
      </c>
      <c r="T427" s="10">
        <v>10296761.609999999</v>
      </c>
      <c r="U427" s="10">
        <v>43071</v>
      </c>
      <c r="V427" s="10">
        <v>43338.07</v>
      </c>
      <c r="W427" s="25">
        <v>3490</v>
      </c>
      <c r="X427" s="34"/>
      <c r="Y427" s="10">
        <v>859060701.92000008</v>
      </c>
    </row>
    <row r="428" spans="1:25" x14ac:dyDescent="0.3">
      <c r="A428" s="7">
        <v>37803</v>
      </c>
      <c r="B428" s="2">
        <f t="shared" si="6"/>
        <v>15887</v>
      </c>
      <c r="C428" s="10">
        <v>24666370.890000001</v>
      </c>
      <c r="D428" s="10">
        <v>27575175.34</v>
      </c>
      <c r="E428" s="10">
        <v>968179.34</v>
      </c>
      <c r="F428" s="10">
        <v>3245369.05</v>
      </c>
      <c r="G428" s="10">
        <v>52517255.240000002</v>
      </c>
      <c r="H428" s="10">
        <v>5248164.8499999996</v>
      </c>
      <c r="I428" s="10">
        <v>10299321.550000001</v>
      </c>
      <c r="J428" s="10">
        <v>1431344.57</v>
      </c>
      <c r="K428" s="10">
        <v>17307053.210000001</v>
      </c>
      <c r="L428" s="10">
        <v>1041118.93</v>
      </c>
      <c r="M428" s="10">
        <v>3206781.82</v>
      </c>
      <c r="N428" s="10">
        <v>2016173.53</v>
      </c>
      <c r="O428" s="34">
        <v>22637113.539999999</v>
      </c>
      <c r="P428" s="34">
        <v>6730167.1799999997</v>
      </c>
      <c r="Q428" s="34">
        <v>16407251.300000001</v>
      </c>
      <c r="R428" s="10">
        <v>3030144.81</v>
      </c>
      <c r="S428" s="10">
        <v>487050621.19999999</v>
      </c>
      <c r="T428" s="10">
        <v>14361329.85</v>
      </c>
      <c r="U428" s="10">
        <v>22091</v>
      </c>
      <c r="V428" s="10">
        <v>37099.14</v>
      </c>
      <c r="W428" s="25">
        <v>334380</v>
      </c>
      <c r="X428" s="34"/>
      <c r="Y428" s="10">
        <v>700132506.34000003</v>
      </c>
    </row>
    <row r="429" spans="1:25" x14ac:dyDescent="0.3">
      <c r="A429" s="7">
        <v>37834</v>
      </c>
      <c r="B429" s="2">
        <f t="shared" si="6"/>
        <v>15918</v>
      </c>
      <c r="C429" s="10">
        <v>4846739.1100000003</v>
      </c>
      <c r="D429" s="10">
        <v>4910678.2</v>
      </c>
      <c r="E429" s="10">
        <v>879951.72</v>
      </c>
      <c r="F429" s="10">
        <v>15807655.01</v>
      </c>
      <c r="G429" s="10">
        <v>52497039.689999998</v>
      </c>
      <c r="H429" s="10">
        <v>5356371.01</v>
      </c>
      <c r="I429" s="10">
        <v>10758279.09</v>
      </c>
      <c r="J429" s="10">
        <v>1552892.91</v>
      </c>
      <c r="K429" s="10">
        <v>16832362.260000002</v>
      </c>
      <c r="L429" s="10">
        <v>910933.35</v>
      </c>
      <c r="M429" s="10">
        <v>3133873.5</v>
      </c>
      <c r="N429" s="10">
        <v>1053953.5</v>
      </c>
      <c r="O429" s="34">
        <v>19497011.960000001</v>
      </c>
      <c r="P429" s="34">
        <v>9436213.6600000001</v>
      </c>
      <c r="Q429" s="34">
        <v>16407251.300000001</v>
      </c>
      <c r="R429" s="10">
        <v>2649139.56</v>
      </c>
      <c r="S429" s="10">
        <v>476852334.11000001</v>
      </c>
      <c r="T429" s="10">
        <v>15147577.48</v>
      </c>
      <c r="U429" s="10">
        <v>61694</v>
      </c>
      <c r="V429" s="10">
        <v>54671.86</v>
      </c>
      <c r="W429" s="25">
        <v>59820</v>
      </c>
      <c r="X429" s="34"/>
      <c r="Y429" s="10">
        <v>658706443.28000009</v>
      </c>
    </row>
    <row r="430" spans="1:25" x14ac:dyDescent="0.3">
      <c r="A430" s="7">
        <v>37865</v>
      </c>
      <c r="B430" s="2">
        <f t="shared" si="6"/>
        <v>15949</v>
      </c>
      <c r="C430" s="10">
        <v>76875780.530000001</v>
      </c>
      <c r="D430" s="10">
        <v>122731336.29000001</v>
      </c>
      <c r="E430" s="10">
        <v>669632.12</v>
      </c>
      <c r="F430" s="10">
        <v>6512255.3300000001</v>
      </c>
      <c r="G430" s="10">
        <v>52686124.619999997</v>
      </c>
      <c r="H430" s="10">
        <v>5283606.0599999996</v>
      </c>
      <c r="I430" s="10">
        <v>10348109.98</v>
      </c>
      <c r="J430" s="10">
        <v>1559233.14</v>
      </c>
      <c r="K430" s="10">
        <v>17884042.949999999</v>
      </c>
      <c r="L430" s="10">
        <v>1018206.63</v>
      </c>
      <c r="M430" s="10">
        <v>3460425.25</v>
      </c>
      <c r="N430" s="10">
        <v>1706005.75</v>
      </c>
      <c r="O430" s="34">
        <v>19568037.210000001</v>
      </c>
      <c r="P430" s="34">
        <v>126740.0700000003</v>
      </c>
      <c r="Q430" s="34">
        <v>18429880.68</v>
      </c>
      <c r="R430" s="10">
        <v>2862000.39</v>
      </c>
      <c r="S430" s="10">
        <v>483592686.56999999</v>
      </c>
      <c r="T430" s="10">
        <v>11464129.710000001</v>
      </c>
      <c r="U430" s="10">
        <v>39690</v>
      </c>
      <c r="V430" s="10">
        <v>43632.38</v>
      </c>
      <c r="W430" s="25">
        <v>14805.8</v>
      </c>
      <c r="X430" s="34"/>
      <c r="Y430" s="10">
        <v>836876361.45999992</v>
      </c>
    </row>
    <row r="431" spans="1:25" x14ac:dyDescent="0.3">
      <c r="A431" s="7">
        <v>37895</v>
      </c>
      <c r="B431" s="2">
        <f t="shared" si="6"/>
        <v>15979</v>
      </c>
      <c r="C431" s="10">
        <v>45931212.700000003</v>
      </c>
      <c r="D431" s="10">
        <v>-43154012.289999999</v>
      </c>
      <c r="E431" s="10">
        <v>2015167.93</v>
      </c>
      <c r="F431" s="10">
        <v>7994616.1500000004</v>
      </c>
      <c r="G431" s="10">
        <v>52101243.920000002</v>
      </c>
      <c r="H431" s="10">
        <v>5349369.87</v>
      </c>
      <c r="I431" s="10">
        <v>9780405.3499999996</v>
      </c>
      <c r="J431" s="10">
        <v>1552294.83</v>
      </c>
      <c r="K431" s="10">
        <v>17106289.300000001</v>
      </c>
      <c r="L431" s="10">
        <v>951597.19</v>
      </c>
      <c r="M431" s="10">
        <v>3011397.38</v>
      </c>
      <c r="N431" s="10">
        <v>1527862</v>
      </c>
      <c r="O431" s="34">
        <v>22872988.5</v>
      </c>
      <c r="P431" s="34">
        <v>76785.859999999404</v>
      </c>
      <c r="Q431" s="34">
        <v>16755782</v>
      </c>
      <c r="R431" s="10">
        <v>2780401.09</v>
      </c>
      <c r="S431" s="10">
        <v>482341969.10000002</v>
      </c>
      <c r="T431" s="10">
        <v>14363713.59</v>
      </c>
      <c r="U431" s="10">
        <v>35830</v>
      </c>
      <c r="V431" s="10">
        <v>37755.25</v>
      </c>
      <c r="W431" s="25">
        <v>17360</v>
      </c>
      <c r="X431" s="34"/>
      <c r="Y431" s="10">
        <v>643450029.72000003</v>
      </c>
    </row>
    <row r="432" spans="1:25" x14ac:dyDescent="0.3">
      <c r="A432" s="7">
        <v>37926</v>
      </c>
      <c r="B432" s="2">
        <f t="shared" si="6"/>
        <v>16010</v>
      </c>
      <c r="C432" s="10">
        <v>7879413.1900000004</v>
      </c>
      <c r="D432" s="10">
        <v>12805279.949999999</v>
      </c>
      <c r="E432" s="10">
        <v>572340.68000000005</v>
      </c>
      <c r="F432" s="10">
        <v>10174609.01</v>
      </c>
      <c r="G432" s="10">
        <v>47394724.689999998</v>
      </c>
      <c r="H432" s="10">
        <v>5228986.82</v>
      </c>
      <c r="I432" s="10">
        <v>8677142.7400000002</v>
      </c>
      <c r="J432" s="10">
        <v>1335420.8400000001</v>
      </c>
      <c r="K432" s="10">
        <v>15874936.34</v>
      </c>
      <c r="L432" s="10">
        <v>783368.05</v>
      </c>
      <c r="M432" s="10">
        <v>3365601.42</v>
      </c>
      <c r="N432" s="10">
        <v>496351.63</v>
      </c>
      <c r="O432" s="34">
        <v>18727969.52</v>
      </c>
      <c r="P432" s="34">
        <v>233582</v>
      </c>
      <c r="Q432" s="34">
        <v>16755782</v>
      </c>
      <c r="R432" s="10">
        <v>3155162.66</v>
      </c>
      <c r="S432" s="10">
        <v>473568011.5</v>
      </c>
      <c r="T432" s="10">
        <v>16902692.260000002</v>
      </c>
      <c r="U432" s="10">
        <v>51642</v>
      </c>
      <c r="V432" s="10">
        <v>37724.410000000003</v>
      </c>
      <c r="W432" s="25">
        <v>7440</v>
      </c>
      <c r="X432" s="34"/>
      <c r="Y432" s="10">
        <v>644028181.70999992</v>
      </c>
    </row>
    <row r="433" spans="1:25" x14ac:dyDescent="0.3">
      <c r="A433" s="7">
        <v>37956</v>
      </c>
      <c r="B433" s="2">
        <f t="shared" si="6"/>
        <v>16040</v>
      </c>
      <c r="C433" s="10">
        <v>40396905.229999997</v>
      </c>
      <c r="D433" s="10">
        <v>58751123.229999997</v>
      </c>
      <c r="E433" s="10">
        <v>3616414.12</v>
      </c>
      <c r="F433" s="10">
        <v>8128412.7599999998</v>
      </c>
      <c r="G433" s="10">
        <v>52841112.850000001</v>
      </c>
      <c r="H433" s="10">
        <v>5278599.9400000004</v>
      </c>
      <c r="I433" s="10">
        <v>11792205.109999999</v>
      </c>
      <c r="J433" s="10">
        <v>1495614.4</v>
      </c>
      <c r="K433" s="10">
        <v>13694189.26</v>
      </c>
      <c r="L433" s="10">
        <v>836606.75</v>
      </c>
      <c r="M433" s="10">
        <v>3357680.13</v>
      </c>
      <c r="N433" s="10">
        <v>657464.35</v>
      </c>
      <c r="O433" s="34">
        <v>14607846.189999999</v>
      </c>
      <c r="P433" s="34">
        <v>56433.640000000596</v>
      </c>
      <c r="Q433" s="34">
        <v>16755782</v>
      </c>
      <c r="R433" s="10">
        <v>3086802.9</v>
      </c>
      <c r="S433" s="10">
        <v>458953725.60000002</v>
      </c>
      <c r="T433" s="10">
        <v>15243816.77</v>
      </c>
      <c r="U433" s="10">
        <v>41978.13</v>
      </c>
      <c r="V433" s="10">
        <v>48546.68</v>
      </c>
      <c r="W433" s="25">
        <v>3880</v>
      </c>
      <c r="X433" s="34"/>
      <c r="Y433" s="10">
        <v>709645140.03999996</v>
      </c>
    </row>
    <row r="434" spans="1:25" x14ac:dyDescent="0.3">
      <c r="A434" s="7">
        <v>37987</v>
      </c>
      <c r="B434" s="2">
        <f t="shared" si="6"/>
        <v>16071</v>
      </c>
      <c r="C434" s="10">
        <v>45980488.640000001</v>
      </c>
      <c r="D434" s="10">
        <v>74988588.659999996</v>
      </c>
      <c r="E434" s="10">
        <v>3893633.51</v>
      </c>
      <c r="F434" s="10">
        <v>4307021.71</v>
      </c>
      <c r="G434" s="10">
        <v>50235510</v>
      </c>
      <c r="H434" s="10">
        <v>5120279.26</v>
      </c>
      <c r="I434" s="10">
        <v>8860116.1099999994</v>
      </c>
      <c r="J434" s="10">
        <v>1354486.07</v>
      </c>
      <c r="K434" s="10">
        <v>14644690.630000001</v>
      </c>
      <c r="L434" s="10">
        <v>901191</v>
      </c>
      <c r="M434" s="10">
        <v>3728040.45</v>
      </c>
      <c r="N434" s="10">
        <v>1155750.3899999999</v>
      </c>
      <c r="O434" s="34">
        <v>20500377.59</v>
      </c>
      <c r="P434" s="34">
        <v>-18458.359999999404</v>
      </c>
      <c r="Q434" s="34">
        <v>16755782</v>
      </c>
      <c r="R434" s="10">
        <v>4662219.99</v>
      </c>
      <c r="S434" s="10">
        <v>585078430.32000005</v>
      </c>
      <c r="T434" s="10">
        <v>13587271.539999999</v>
      </c>
      <c r="U434" s="10">
        <v>43036</v>
      </c>
      <c r="V434" s="10">
        <v>38571.870000000003</v>
      </c>
      <c r="W434" s="25">
        <v>0</v>
      </c>
      <c r="X434" s="34"/>
      <c r="Y434" s="10">
        <v>855817027.38</v>
      </c>
    </row>
    <row r="435" spans="1:25" x14ac:dyDescent="0.3">
      <c r="A435" s="7">
        <v>38018</v>
      </c>
      <c r="B435" s="2">
        <f t="shared" si="6"/>
        <v>16102</v>
      </c>
      <c r="C435" s="10">
        <v>2649306.59</v>
      </c>
      <c r="D435" s="10">
        <v>20815683.98</v>
      </c>
      <c r="E435" s="10">
        <v>1662555.6</v>
      </c>
      <c r="F435" s="10">
        <v>9171948.2400000002</v>
      </c>
      <c r="G435" s="10">
        <v>46081059.729999997</v>
      </c>
      <c r="H435" s="10">
        <v>4967012.9800000004</v>
      </c>
      <c r="I435" s="10">
        <v>9007233.9100000001</v>
      </c>
      <c r="J435" s="10">
        <v>1331636.07</v>
      </c>
      <c r="K435" s="10">
        <v>19171553.760000002</v>
      </c>
      <c r="L435" s="10">
        <v>845772.34</v>
      </c>
      <c r="M435" s="10">
        <v>3136812.46</v>
      </c>
      <c r="N435" s="10">
        <v>403797.35</v>
      </c>
      <c r="O435" s="34">
        <v>15337361.1</v>
      </c>
      <c r="P435" s="34">
        <v>164241.6099999994</v>
      </c>
      <c r="Q435" s="34">
        <v>16755782</v>
      </c>
      <c r="R435" s="10">
        <v>2103437.7799999998</v>
      </c>
      <c r="S435" s="10">
        <v>426392955.49000001</v>
      </c>
      <c r="T435" s="10">
        <v>11499867.34</v>
      </c>
      <c r="U435" s="10">
        <v>44743</v>
      </c>
      <c r="V435" s="10">
        <v>47974.81</v>
      </c>
      <c r="W435" s="25">
        <v>10130</v>
      </c>
      <c r="X435" s="34"/>
      <c r="Y435" s="10">
        <v>591600866.13999999</v>
      </c>
    </row>
    <row r="436" spans="1:25" x14ac:dyDescent="0.3">
      <c r="A436" s="7">
        <v>38047</v>
      </c>
      <c r="B436" s="2">
        <f t="shared" si="6"/>
        <v>16131</v>
      </c>
      <c r="C436" s="10">
        <v>38815568.289999999</v>
      </c>
      <c r="D436" s="10">
        <v>63390645.329999998</v>
      </c>
      <c r="E436" s="10">
        <v>10441834.859999999</v>
      </c>
      <c r="F436" s="10">
        <v>4094288.98</v>
      </c>
      <c r="G436" s="10">
        <v>42691112.609999999</v>
      </c>
      <c r="H436" s="10">
        <v>4509199.96</v>
      </c>
      <c r="I436" s="10">
        <v>9823602.7799999993</v>
      </c>
      <c r="J436" s="10">
        <v>1275998.6299999999</v>
      </c>
      <c r="K436" s="10">
        <v>24291512.600000001</v>
      </c>
      <c r="L436" s="10">
        <v>1113191.8999999999</v>
      </c>
      <c r="M436" s="10">
        <v>3476440.38</v>
      </c>
      <c r="N436" s="10">
        <v>1724005.17</v>
      </c>
      <c r="O436" s="34">
        <v>15289816.23</v>
      </c>
      <c r="P436" s="34">
        <v>25804.480000000447</v>
      </c>
      <c r="Q436" s="34">
        <v>16755782</v>
      </c>
      <c r="R436" s="10">
        <v>2708411.12</v>
      </c>
      <c r="S436" s="10">
        <v>435299952.94</v>
      </c>
      <c r="T436" s="10">
        <v>14937525.57</v>
      </c>
      <c r="U436" s="10">
        <v>-10814.08</v>
      </c>
      <c r="V436" s="10">
        <v>53907.48</v>
      </c>
      <c r="W436" s="25">
        <v>7250</v>
      </c>
      <c r="X436" s="34"/>
      <c r="Y436" s="10">
        <v>690715037.23000002</v>
      </c>
    </row>
    <row r="437" spans="1:25" x14ac:dyDescent="0.3">
      <c r="A437" s="7">
        <v>38078</v>
      </c>
      <c r="B437" s="2">
        <f t="shared" si="6"/>
        <v>16162</v>
      </c>
      <c r="C437" s="10">
        <v>123835798.22</v>
      </c>
      <c r="D437" s="10">
        <v>191115893.61000001</v>
      </c>
      <c r="E437" s="10">
        <v>108433478.89</v>
      </c>
      <c r="F437" s="10">
        <v>13362170.140000001</v>
      </c>
      <c r="G437" s="10">
        <v>51304801.329999998</v>
      </c>
      <c r="H437" s="10">
        <v>5449187.9900000002</v>
      </c>
      <c r="I437" s="10">
        <v>9930129.1500000004</v>
      </c>
      <c r="J437" s="10">
        <v>1595926.94</v>
      </c>
      <c r="K437" s="10">
        <v>27433966.699999999</v>
      </c>
      <c r="L437" s="10">
        <v>1006012.5</v>
      </c>
      <c r="M437" s="10">
        <v>3659213.43</v>
      </c>
      <c r="N437" s="10">
        <v>1322848.8999999999</v>
      </c>
      <c r="O437" s="34">
        <v>21078626.789999999</v>
      </c>
      <c r="P437" s="34">
        <v>220823.39999999851</v>
      </c>
      <c r="Q437" s="34">
        <v>16755782</v>
      </c>
      <c r="R437" s="10">
        <v>3415926.95</v>
      </c>
      <c r="S437" s="10">
        <v>502087429.32999998</v>
      </c>
      <c r="T437" s="10">
        <v>11705728.08</v>
      </c>
      <c r="U437" s="10">
        <v>40025.339999999997</v>
      </c>
      <c r="V437" s="10">
        <v>57173.08</v>
      </c>
      <c r="W437" s="25">
        <v>1800</v>
      </c>
      <c r="X437" s="34"/>
      <c r="Y437" s="10">
        <v>1093812742.7699997</v>
      </c>
    </row>
    <row r="438" spans="1:25" x14ac:dyDescent="0.3">
      <c r="A438" s="7">
        <v>38108</v>
      </c>
      <c r="B438" s="2">
        <f t="shared" si="6"/>
        <v>16192</v>
      </c>
      <c r="C438" s="10">
        <v>13467244.93</v>
      </c>
      <c r="D438" s="10">
        <v>17677805.91</v>
      </c>
      <c r="E438" s="10">
        <v>6022376.2999999998</v>
      </c>
      <c r="F438" s="10">
        <v>6847896.5099999998</v>
      </c>
      <c r="G438" s="10">
        <v>51131098.270000003</v>
      </c>
      <c r="H438" s="10">
        <v>5358089.78</v>
      </c>
      <c r="I438" s="10">
        <v>9321078.4299999997</v>
      </c>
      <c r="J438" s="10">
        <v>1594542.51</v>
      </c>
      <c r="K438" s="10">
        <v>33154766.27</v>
      </c>
      <c r="L438" s="10">
        <v>911294.16</v>
      </c>
      <c r="M438" s="10">
        <v>3539755.51</v>
      </c>
      <c r="N438" s="10">
        <v>806810.15</v>
      </c>
      <c r="O438" s="34">
        <v>45113991.159999996</v>
      </c>
      <c r="P438" s="34">
        <v>101456.66000000015</v>
      </c>
      <c r="Q438" s="34">
        <v>16755782</v>
      </c>
      <c r="R438" s="10">
        <v>2818907.42</v>
      </c>
      <c r="S438" s="10">
        <v>486328469.63</v>
      </c>
      <c r="T438" s="10">
        <v>14460312.98</v>
      </c>
      <c r="U438" s="10">
        <v>48129.65</v>
      </c>
      <c r="V438" s="10">
        <v>73941.240000000005</v>
      </c>
      <c r="W438" s="25">
        <v>40280</v>
      </c>
      <c r="X438" s="34"/>
      <c r="Y438" s="10">
        <v>715574029.46999991</v>
      </c>
    </row>
    <row r="439" spans="1:25" x14ac:dyDescent="0.3">
      <c r="A439" s="7">
        <v>38139</v>
      </c>
      <c r="B439" s="2">
        <f t="shared" si="6"/>
        <v>16223</v>
      </c>
      <c r="C439" s="10">
        <v>81431406.359999999</v>
      </c>
      <c r="D439" s="10">
        <v>143189382.44</v>
      </c>
      <c r="E439" s="10">
        <v>814892.19</v>
      </c>
      <c r="F439" s="10">
        <v>6888173.8899999997</v>
      </c>
      <c r="G439" s="10">
        <v>51458900.5</v>
      </c>
      <c r="H439" s="10">
        <v>5330643.17</v>
      </c>
      <c r="I439" s="10">
        <v>10884786.380000001</v>
      </c>
      <c r="J439" s="10">
        <v>1675431.23</v>
      </c>
      <c r="K439" s="10">
        <v>20932196.559999999</v>
      </c>
      <c r="L439" s="10">
        <v>1042507.86</v>
      </c>
      <c r="M439" s="10">
        <v>3479543.73</v>
      </c>
      <c r="N439" s="10">
        <v>79588554.459999993</v>
      </c>
      <c r="O439" s="34">
        <v>39863280.960000001</v>
      </c>
      <c r="P439" s="34">
        <v>195069.37000000104</v>
      </c>
      <c r="Q439" s="34">
        <v>16755782</v>
      </c>
      <c r="R439" s="10">
        <v>2922424.38</v>
      </c>
      <c r="S439" s="10">
        <v>488644979.81999999</v>
      </c>
      <c r="T439" s="10">
        <v>13074276.25</v>
      </c>
      <c r="U439" s="10">
        <v>51085</v>
      </c>
      <c r="V439" s="10">
        <v>61065.79</v>
      </c>
      <c r="W439" s="25">
        <v>198900</v>
      </c>
      <c r="X439" s="34"/>
      <c r="Y439" s="10">
        <v>968483282.33999991</v>
      </c>
    </row>
    <row r="440" spans="1:25" x14ac:dyDescent="0.3">
      <c r="A440" s="7">
        <v>38169</v>
      </c>
      <c r="B440" s="2">
        <f t="shared" si="6"/>
        <v>16253</v>
      </c>
      <c r="C440" s="10">
        <v>17052219.149999999</v>
      </c>
      <c r="D440" s="10">
        <v>15504651.470000001</v>
      </c>
      <c r="E440" s="10">
        <v>783151.16</v>
      </c>
      <c r="F440" s="10">
        <v>8464410.9800000004</v>
      </c>
      <c r="G440" s="10">
        <v>50514211.049999997</v>
      </c>
      <c r="H440" s="10">
        <v>5323770.18</v>
      </c>
      <c r="I440" s="10">
        <v>10694094.300000001</v>
      </c>
      <c r="J440" s="10">
        <v>1717313.26</v>
      </c>
      <c r="K440" s="10">
        <v>19479521.52</v>
      </c>
      <c r="L440" s="10">
        <v>963267.16</v>
      </c>
      <c r="M440" s="10">
        <v>3492646.39</v>
      </c>
      <c r="N440" s="10">
        <v>4380941.88</v>
      </c>
      <c r="O440" s="34">
        <v>24416822.629999999</v>
      </c>
      <c r="P440" s="34">
        <v>5592045.6400000006</v>
      </c>
      <c r="Q440" s="34">
        <v>16755782</v>
      </c>
      <c r="R440" s="10">
        <v>3262665.63</v>
      </c>
      <c r="S440" s="10">
        <v>507362578.20999998</v>
      </c>
      <c r="T440" s="10">
        <v>16370106.24</v>
      </c>
      <c r="U440" s="10">
        <v>58979.69</v>
      </c>
      <c r="V440" s="10">
        <v>40910</v>
      </c>
      <c r="W440" s="25">
        <v>88640</v>
      </c>
      <c r="X440" s="34"/>
      <c r="Y440" s="10">
        <v>712318728.53999996</v>
      </c>
    </row>
    <row r="441" spans="1:25" x14ac:dyDescent="0.3">
      <c r="A441" s="7">
        <v>38200</v>
      </c>
      <c r="B441" s="2">
        <f t="shared" si="6"/>
        <v>16284</v>
      </c>
      <c r="C441" s="10">
        <v>16301982.289999999</v>
      </c>
      <c r="D441" s="10">
        <v>9307626.4600000009</v>
      </c>
      <c r="E441" s="10">
        <v>1080534.98</v>
      </c>
      <c r="F441" s="10">
        <v>4714082.8099999996</v>
      </c>
      <c r="G441" s="10">
        <v>52367834.219999999</v>
      </c>
      <c r="H441" s="10">
        <v>5341064.3</v>
      </c>
      <c r="I441" s="10">
        <v>10632185.59</v>
      </c>
      <c r="J441" s="10">
        <v>1490296.22</v>
      </c>
      <c r="K441" s="10">
        <v>17119504.43</v>
      </c>
      <c r="L441" s="10">
        <v>978687.24</v>
      </c>
      <c r="M441" s="10">
        <v>3367267.27</v>
      </c>
      <c r="N441" s="10">
        <v>1056562.2</v>
      </c>
      <c r="O441" s="34">
        <v>19827762.34</v>
      </c>
      <c r="P441" s="34">
        <v>11099540.57</v>
      </c>
      <c r="Q441" s="34">
        <v>16755782</v>
      </c>
      <c r="R441" s="10">
        <v>2735473.51</v>
      </c>
      <c r="S441" s="10">
        <v>503375959.22000003</v>
      </c>
      <c r="T441" s="10">
        <v>14293197.99</v>
      </c>
      <c r="U441" s="10">
        <v>51688.07</v>
      </c>
      <c r="V441" s="10">
        <v>83062.149999999994</v>
      </c>
      <c r="W441" s="25">
        <v>32330</v>
      </c>
      <c r="X441" s="34"/>
      <c r="Y441" s="10">
        <v>692012423.86000001</v>
      </c>
    </row>
    <row r="442" spans="1:25" x14ac:dyDescent="0.3">
      <c r="A442" s="7">
        <v>38231</v>
      </c>
      <c r="B442" s="2">
        <f t="shared" si="6"/>
        <v>16315</v>
      </c>
      <c r="C442" s="10">
        <v>80151194.040000007</v>
      </c>
      <c r="D442" s="10">
        <v>122877779.77</v>
      </c>
      <c r="E442" s="10">
        <v>565482.22</v>
      </c>
      <c r="F442" s="10">
        <v>8542521.0600000005</v>
      </c>
      <c r="G442" s="10">
        <v>52754330.219999999</v>
      </c>
      <c r="H442" s="10">
        <v>5537950.0499999998</v>
      </c>
      <c r="I442" s="10">
        <v>10202560.99</v>
      </c>
      <c r="J442" s="10">
        <v>1670826.35</v>
      </c>
      <c r="K442" s="10">
        <v>18127853.510000002</v>
      </c>
      <c r="L442" s="10">
        <v>986286.5</v>
      </c>
      <c r="M442" s="10">
        <v>3335832.36</v>
      </c>
      <c r="N442" s="10">
        <v>2505182.52</v>
      </c>
      <c r="O442" s="34">
        <v>19744604.920000002</v>
      </c>
      <c r="P442" s="34">
        <v>303466.73999999836</v>
      </c>
      <c r="Q442" s="34">
        <v>17788551.559999999</v>
      </c>
      <c r="R442" s="10">
        <v>3003369.28</v>
      </c>
      <c r="S442" s="10">
        <v>487160955.23000002</v>
      </c>
      <c r="T442" s="10">
        <v>15439116.25</v>
      </c>
      <c r="U442" s="10">
        <v>49402</v>
      </c>
      <c r="V442" s="10">
        <v>61392.73</v>
      </c>
      <c r="W442" s="25">
        <v>1150</v>
      </c>
      <c r="X442" s="34"/>
      <c r="Y442" s="10">
        <v>850809808.30000007</v>
      </c>
    </row>
    <row r="443" spans="1:25" x14ac:dyDescent="0.3">
      <c r="A443" s="7">
        <v>38261</v>
      </c>
      <c r="B443" s="2">
        <f t="shared" si="6"/>
        <v>16345</v>
      </c>
      <c r="C443" s="10">
        <v>23536429.600000001</v>
      </c>
      <c r="D443" s="10">
        <v>-1514539.09</v>
      </c>
      <c r="E443" s="10">
        <v>1044496.83</v>
      </c>
      <c r="F443" s="10">
        <v>6316240.6600000001</v>
      </c>
      <c r="G443" s="10">
        <v>50139529.039999999</v>
      </c>
      <c r="H443" s="10">
        <v>5277339.5</v>
      </c>
      <c r="I443" s="10">
        <v>10287632.310000001</v>
      </c>
      <c r="J443" s="10">
        <v>1526087.39</v>
      </c>
      <c r="K443" s="10">
        <v>17420504.120000001</v>
      </c>
      <c r="L443" s="10">
        <v>902623.25</v>
      </c>
      <c r="M443" s="10">
        <v>3179267.3</v>
      </c>
      <c r="N443" s="10">
        <v>1284645.1000000001</v>
      </c>
      <c r="O443" s="34">
        <v>21927658.960000001</v>
      </c>
      <c r="P443" s="34">
        <v>121660.51999999955</v>
      </c>
      <c r="Q443" s="34">
        <v>18038751</v>
      </c>
      <c r="R443" s="10">
        <v>2955807.32</v>
      </c>
      <c r="S443" s="10">
        <v>501202287.92000002</v>
      </c>
      <c r="T443" s="10">
        <v>13727703.050000001</v>
      </c>
      <c r="U443" s="10">
        <v>47776.4</v>
      </c>
      <c r="V443" s="10">
        <v>81182.67</v>
      </c>
      <c r="W443" s="25">
        <v>13196.15</v>
      </c>
      <c r="X443" s="34"/>
      <c r="Y443" s="10">
        <v>677516279.99999988</v>
      </c>
    </row>
    <row r="444" spans="1:25" x14ac:dyDescent="0.3">
      <c r="A444" s="7">
        <v>38292</v>
      </c>
      <c r="B444" s="2">
        <f t="shared" si="6"/>
        <v>16376</v>
      </c>
      <c r="C444" s="10">
        <v>7737532.8200000003</v>
      </c>
      <c r="D444" s="10">
        <v>5986574.2300000004</v>
      </c>
      <c r="E444" s="10">
        <v>1183131.55</v>
      </c>
      <c r="F444" s="10">
        <v>2769914.58</v>
      </c>
      <c r="G444" s="10">
        <v>53445965.020000003</v>
      </c>
      <c r="H444" s="10">
        <v>5494346.29</v>
      </c>
      <c r="I444" s="10">
        <v>10479244.83</v>
      </c>
      <c r="J444" s="10">
        <v>1365205.59</v>
      </c>
      <c r="K444" s="10">
        <v>17466621.899999999</v>
      </c>
      <c r="L444" s="10">
        <v>863319.49</v>
      </c>
      <c r="M444" s="10">
        <v>3765798.09</v>
      </c>
      <c r="N444" s="10">
        <v>497148.96</v>
      </c>
      <c r="O444" s="34">
        <v>18530527.25</v>
      </c>
      <c r="P444" s="34">
        <v>549804.14999999851</v>
      </c>
      <c r="Q444" s="34">
        <v>18038751</v>
      </c>
      <c r="R444" s="10">
        <v>2960396.97</v>
      </c>
      <c r="S444" s="10">
        <v>486642963.82999998</v>
      </c>
      <c r="T444" s="10">
        <v>15260526.57</v>
      </c>
      <c r="U444" s="10">
        <v>48744</v>
      </c>
      <c r="V444" s="10">
        <v>80162.53</v>
      </c>
      <c r="W444" s="25">
        <v>11960</v>
      </c>
      <c r="X444" s="34"/>
      <c r="Y444" s="10">
        <v>653178639.64999998</v>
      </c>
    </row>
    <row r="445" spans="1:25" x14ac:dyDescent="0.3">
      <c r="A445" s="7">
        <v>38322</v>
      </c>
      <c r="B445" s="2">
        <f t="shared" si="6"/>
        <v>16406</v>
      </c>
      <c r="C445" s="10">
        <v>52736249.770000003</v>
      </c>
      <c r="D445" s="10">
        <v>89363979.209999993</v>
      </c>
      <c r="E445" s="10">
        <v>3264688.97</v>
      </c>
      <c r="F445" s="10">
        <v>9514414.5999999996</v>
      </c>
      <c r="G445" s="10">
        <v>49331579.159999996</v>
      </c>
      <c r="H445" s="10">
        <v>5233616.3899999997</v>
      </c>
      <c r="I445" s="10">
        <v>9107358.9700000007</v>
      </c>
      <c r="J445" s="10">
        <v>1397442.85</v>
      </c>
      <c r="K445" s="10">
        <v>14552671.449999999</v>
      </c>
      <c r="L445" s="10">
        <v>810647</v>
      </c>
      <c r="M445" s="10">
        <v>3386950.27</v>
      </c>
      <c r="N445" s="10">
        <v>1075773.32</v>
      </c>
      <c r="O445" s="34">
        <v>18477754.399999999</v>
      </c>
      <c r="P445" s="34">
        <v>849279.30000000075</v>
      </c>
      <c r="Q445" s="34">
        <v>18038751</v>
      </c>
      <c r="R445" s="10">
        <v>3387786.13</v>
      </c>
      <c r="S445" s="10">
        <v>477450745.14999998</v>
      </c>
      <c r="T445" s="10">
        <v>14268825.199999999</v>
      </c>
      <c r="U445" s="10">
        <v>51954.87</v>
      </c>
      <c r="V445" s="10">
        <v>63254.68</v>
      </c>
      <c r="W445" s="25">
        <v>2530</v>
      </c>
      <c r="X445" s="34"/>
      <c r="Y445" s="10">
        <v>772366252.68999994</v>
      </c>
    </row>
    <row r="446" spans="1:25" x14ac:dyDescent="0.3">
      <c r="A446" s="7">
        <v>38353</v>
      </c>
      <c r="B446" s="2">
        <f t="shared" si="6"/>
        <v>16437</v>
      </c>
      <c r="C446" s="10">
        <v>49314943.060000002</v>
      </c>
      <c r="D446" s="10">
        <v>100201500.81</v>
      </c>
      <c r="E446" s="10">
        <v>2864930.8</v>
      </c>
      <c r="F446" s="10">
        <v>8285515.0599999996</v>
      </c>
      <c r="G446" s="10">
        <v>50894918.200000003</v>
      </c>
      <c r="H446" s="10">
        <v>5306970.3499999996</v>
      </c>
      <c r="I446" s="10">
        <v>8952089.2100000009</v>
      </c>
      <c r="J446" s="10">
        <v>1164736.1200000001</v>
      </c>
      <c r="K446" s="10">
        <v>17659435.91</v>
      </c>
      <c r="L446" s="10">
        <v>954614.09</v>
      </c>
      <c r="M446" s="10">
        <v>3932418.36</v>
      </c>
      <c r="N446" s="10">
        <v>1341121.78</v>
      </c>
      <c r="O446" s="34">
        <v>21753294.170000002</v>
      </c>
      <c r="P446" s="34">
        <v>114400.01000000164</v>
      </c>
      <c r="Q446" s="34">
        <v>18038751</v>
      </c>
      <c r="R446" s="10">
        <v>4675525.03</v>
      </c>
      <c r="S446" s="10">
        <v>620404639.55999994</v>
      </c>
      <c r="T446" s="10">
        <v>13366151.810000001</v>
      </c>
      <c r="U446" s="10">
        <v>40733.129999999997</v>
      </c>
      <c r="V446" s="10">
        <v>50180.83</v>
      </c>
      <c r="W446" s="25">
        <v>4410</v>
      </c>
      <c r="X446" s="34">
        <v>129</v>
      </c>
      <c r="Y446" s="10">
        <v>929321408.28999996</v>
      </c>
    </row>
    <row r="447" spans="1:25" x14ac:dyDescent="0.3">
      <c r="A447" s="7">
        <v>38384</v>
      </c>
      <c r="B447" s="2">
        <f t="shared" si="6"/>
        <v>16468</v>
      </c>
      <c r="C447" s="10">
        <v>9813581.7599999998</v>
      </c>
      <c r="D447" s="10">
        <v>24763796.449999999</v>
      </c>
      <c r="E447" s="10">
        <v>1739800.45</v>
      </c>
      <c r="F447" s="10">
        <v>7854619.8499999996</v>
      </c>
      <c r="G447" s="10">
        <v>51140571.950000003</v>
      </c>
      <c r="H447" s="10">
        <v>5194581.18</v>
      </c>
      <c r="I447" s="10">
        <v>7771162</v>
      </c>
      <c r="J447" s="10">
        <v>1318904.58</v>
      </c>
      <c r="K447" s="10">
        <v>22456309.199999999</v>
      </c>
      <c r="L447" s="10">
        <v>896135.5</v>
      </c>
      <c r="M447" s="10">
        <v>3325412.96</v>
      </c>
      <c r="N447" s="10">
        <v>823407.72</v>
      </c>
      <c r="O447" s="34">
        <v>15947285.51</v>
      </c>
      <c r="P447" s="34">
        <v>62671.160000000149</v>
      </c>
      <c r="Q447" s="34">
        <v>18038751</v>
      </c>
      <c r="R447" s="10">
        <v>2150620.2599999998</v>
      </c>
      <c r="S447" s="10">
        <v>446985950.06</v>
      </c>
      <c r="T447" s="10">
        <v>14467691.720000001</v>
      </c>
      <c r="U447" s="10">
        <v>48704</v>
      </c>
      <c r="V447" s="10">
        <v>67153.17</v>
      </c>
      <c r="W447" s="25">
        <v>0</v>
      </c>
      <c r="X447" s="34"/>
      <c r="Y447" s="10">
        <v>634867110.48000002</v>
      </c>
    </row>
    <row r="448" spans="1:25" x14ac:dyDescent="0.3">
      <c r="A448" s="7">
        <v>38412</v>
      </c>
      <c r="B448" s="2">
        <f t="shared" si="6"/>
        <v>16496</v>
      </c>
      <c r="C448" s="10">
        <v>37911382.390000001</v>
      </c>
      <c r="D448" s="10">
        <v>66271063.909999996</v>
      </c>
      <c r="E448" s="10">
        <v>11747301.35</v>
      </c>
      <c r="F448" s="10">
        <v>7562703.2000000002</v>
      </c>
      <c r="G448" s="10">
        <v>39488309.560000002</v>
      </c>
      <c r="H448" s="10">
        <v>4337583.6900000004</v>
      </c>
      <c r="I448" s="10">
        <v>7760757.7199999997</v>
      </c>
      <c r="J448" s="10">
        <v>1483766.08</v>
      </c>
      <c r="K448" s="10">
        <v>25031726.199999999</v>
      </c>
      <c r="L448" s="10">
        <v>1100271.52</v>
      </c>
      <c r="M448" s="10">
        <v>3678329.59</v>
      </c>
      <c r="N448" s="10">
        <v>2687759.03</v>
      </c>
      <c r="O448" s="34">
        <v>14244275.24</v>
      </c>
      <c r="P448" s="34">
        <v>43399.870000001043</v>
      </c>
      <c r="Q448" s="34">
        <v>18038751</v>
      </c>
      <c r="R448" s="10">
        <v>2832580.41</v>
      </c>
      <c r="S448" s="10">
        <v>465516613.52999997</v>
      </c>
      <c r="T448" s="10">
        <v>10674911.560000001</v>
      </c>
      <c r="U448" s="10">
        <v>50935.67</v>
      </c>
      <c r="V448" s="10">
        <v>74589.05</v>
      </c>
      <c r="W448" s="25">
        <v>1420</v>
      </c>
      <c r="X448" s="34">
        <v>69.900000000000006</v>
      </c>
      <c r="Y448" s="10">
        <v>720538500.46999979</v>
      </c>
    </row>
    <row r="449" spans="1:25" x14ac:dyDescent="0.3">
      <c r="A449" s="7">
        <v>38443</v>
      </c>
      <c r="B449" s="2">
        <f t="shared" si="6"/>
        <v>16527</v>
      </c>
      <c r="C449" s="10">
        <v>125173345.2</v>
      </c>
      <c r="D449" s="10">
        <v>191261918.50999999</v>
      </c>
      <c r="E449" s="10">
        <v>123826582.92</v>
      </c>
      <c r="F449" s="10">
        <v>17351161.949999999</v>
      </c>
      <c r="G449" s="10">
        <v>51763650.689999998</v>
      </c>
      <c r="H449" s="10">
        <v>5490732.3200000003</v>
      </c>
      <c r="I449" s="10">
        <v>12291259.890000001</v>
      </c>
      <c r="J449" s="10">
        <v>1742872.45</v>
      </c>
      <c r="K449" s="10">
        <v>25375322.77</v>
      </c>
      <c r="L449" s="10">
        <v>1020383.63</v>
      </c>
      <c r="M449" s="10">
        <v>3787704.9</v>
      </c>
      <c r="N449" s="10">
        <v>1478656.22</v>
      </c>
      <c r="O449" s="34">
        <v>24802968.739999998</v>
      </c>
      <c r="P449" s="34">
        <v>143656.6099999994</v>
      </c>
      <c r="Q449" s="34">
        <v>18038751</v>
      </c>
      <c r="R449" s="10">
        <v>3287811.85</v>
      </c>
      <c r="S449" s="10">
        <v>528462318.22000003</v>
      </c>
      <c r="T449" s="10">
        <v>17173813.440000001</v>
      </c>
      <c r="U449" s="10">
        <v>60959.66</v>
      </c>
      <c r="V449" s="10">
        <v>62987.46</v>
      </c>
      <c r="W449" s="25">
        <v>3730</v>
      </c>
      <c r="X449" s="34">
        <v>51.7</v>
      </c>
      <c r="Y449" s="14">
        <v>1152600039.8300002</v>
      </c>
    </row>
    <row r="450" spans="1:25" x14ac:dyDescent="0.3">
      <c r="A450" s="7">
        <v>38473</v>
      </c>
      <c r="B450" s="2">
        <f t="shared" si="6"/>
        <v>16557</v>
      </c>
      <c r="C450" s="10">
        <v>11699145.859999999</v>
      </c>
      <c r="D450" s="10">
        <v>28806267.219999999</v>
      </c>
      <c r="E450" s="10">
        <v>5775691.1299999999</v>
      </c>
      <c r="F450" s="10">
        <v>2248944.62</v>
      </c>
      <c r="G450" s="10">
        <v>52433712.170000002</v>
      </c>
      <c r="H450" s="10">
        <v>5455312.7599999998</v>
      </c>
      <c r="I450" s="10">
        <v>10689263.17</v>
      </c>
      <c r="J450" s="10">
        <v>1356637.63</v>
      </c>
      <c r="K450" s="10">
        <v>19173358.23</v>
      </c>
      <c r="L450" s="10">
        <v>945926</v>
      </c>
      <c r="M450" s="10">
        <v>3890446.11</v>
      </c>
      <c r="N450" s="10">
        <v>987743.4</v>
      </c>
      <c r="O450" s="34">
        <v>45170316.530000001</v>
      </c>
      <c r="P450" s="34">
        <v>264567.53000000119</v>
      </c>
      <c r="Q450" s="34">
        <v>18038751</v>
      </c>
      <c r="R450" s="10">
        <v>3095173.82</v>
      </c>
      <c r="S450" s="10">
        <v>510638653.94999999</v>
      </c>
      <c r="T450" s="10">
        <v>13053373.99</v>
      </c>
      <c r="U450" s="10">
        <v>54959.23</v>
      </c>
      <c r="V450" s="10">
        <v>63551.93</v>
      </c>
      <c r="W450" s="25">
        <v>10</v>
      </c>
      <c r="X450" s="34">
        <v>43.5</v>
      </c>
      <c r="Y450" s="10">
        <v>733841849.77999997</v>
      </c>
    </row>
    <row r="451" spans="1:25" x14ac:dyDescent="0.3">
      <c r="A451" s="7">
        <v>38504</v>
      </c>
      <c r="B451" s="2">
        <f t="shared" si="6"/>
        <v>16588</v>
      </c>
      <c r="C451" s="10">
        <v>85528209.850000009</v>
      </c>
      <c r="D451" s="10">
        <v>152770219.02000001</v>
      </c>
      <c r="E451" s="10">
        <v>1457450.11</v>
      </c>
      <c r="F451" s="10">
        <v>1972843.86</v>
      </c>
      <c r="G451" s="10">
        <v>53228312.810000002</v>
      </c>
      <c r="H451" s="10">
        <v>5562888.0899999999</v>
      </c>
      <c r="I451" s="10">
        <v>12343117.880000001</v>
      </c>
      <c r="J451" s="10">
        <v>1688782.6</v>
      </c>
      <c r="K451" s="10">
        <v>32374807.57</v>
      </c>
      <c r="L451" s="10">
        <v>1013026.62</v>
      </c>
      <c r="M451" s="10">
        <v>3730232.37</v>
      </c>
      <c r="N451" s="10">
        <v>99455897.079999998</v>
      </c>
      <c r="O451" s="34">
        <v>46920237.509999998</v>
      </c>
      <c r="P451" s="34">
        <v>16345.760000001639</v>
      </c>
      <c r="Q451" s="34">
        <v>18038751</v>
      </c>
      <c r="R451" s="10">
        <v>3313529.4</v>
      </c>
      <c r="S451" s="10">
        <v>514844779.98000002</v>
      </c>
      <c r="T451" s="10">
        <v>15094600.539999999</v>
      </c>
      <c r="U451" s="10">
        <v>60138.97</v>
      </c>
      <c r="V451" s="10">
        <v>84236.35</v>
      </c>
      <c r="W451" s="25">
        <v>24483.33</v>
      </c>
      <c r="X451" s="34">
        <v>4.8</v>
      </c>
      <c r="Y451" s="10">
        <v>1049522895.5</v>
      </c>
    </row>
    <row r="452" spans="1:25" x14ac:dyDescent="0.3">
      <c r="A452" s="7">
        <v>38534</v>
      </c>
      <c r="B452" s="2">
        <f t="shared" si="6"/>
        <v>16618</v>
      </c>
      <c r="C452" s="10">
        <v>32162170.18</v>
      </c>
      <c r="D452" s="10">
        <v>45226292.380000003</v>
      </c>
      <c r="E452" s="10">
        <v>880311.29</v>
      </c>
      <c r="F452" s="10">
        <v>3179042.56</v>
      </c>
      <c r="G452" s="10">
        <v>51120069.960000001</v>
      </c>
      <c r="H452" s="10">
        <v>5416362.2800000003</v>
      </c>
      <c r="I452" s="10">
        <v>9008067.9700000007</v>
      </c>
      <c r="J452" s="10">
        <v>1494918.1</v>
      </c>
      <c r="K452" s="10">
        <v>19494798.870000001</v>
      </c>
      <c r="L452" s="10">
        <v>924249.25</v>
      </c>
      <c r="M452" s="10">
        <v>3712064.03</v>
      </c>
      <c r="N452" s="10">
        <v>3226679.37</v>
      </c>
      <c r="O452" s="34">
        <v>26777451.350000001</v>
      </c>
      <c r="P452" s="34">
        <v>6463475.1600000001</v>
      </c>
      <c r="Q452" s="34">
        <v>18038751</v>
      </c>
      <c r="R452" s="10">
        <v>3289796.61</v>
      </c>
      <c r="S452" s="10">
        <v>551690453.10000002</v>
      </c>
      <c r="T452" s="10">
        <v>16497982.540000001</v>
      </c>
      <c r="U452" s="10">
        <v>59738.79</v>
      </c>
      <c r="V452" s="10">
        <v>81715.460000000006</v>
      </c>
      <c r="W452" s="25">
        <v>255110</v>
      </c>
      <c r="X452" s="34">
        <v>4939.8500000000004</v>
      </c>
      <c r="Y452" s="10">
        <v>799004440.10000002</v>
      </c>
    </row>
    <row r="453" spans="1:25" x14ac:dyDescent="0.3">
      <c r="A453" s="7">
        <v>38565</v>
      </c>
      <c r="B453" s="2">
        <f t="shared" si="6"/>
        <v>16649</v>
      </c>
      <c r="C453" s="10">
        <v>13198768.279999999</v>
      </c>
      <c r="D453" s="10">
        <v>20477074.420000002</v>
      </c>
      <c r="E453" s="10">
        <v>1574481.77</v>
      </c>
      <c r="F453" s="10">
        <v>7332381.1900000004</v>
      </c>
      <c r="G453" s="10">
        <v>49045785.359999999</v>
      </c>
      <c r="H453" s="10">
        <v>5165582.3</v>
      </c>
      <c r="I453" s="10">
        <v>12063535.810000001</v>
      </c>
      <c r="J453" s="10">
        <v>1616083.6</v>
      </c>
      <c r="K453" s="10">
        <v>19173673.289999999</v>
      </c>
      <c r="L453" s="10">
        <v>1051692</v>
      </c>
      <c r="M453" s="10">
        <v>3786906.49</v>
      </c>
      <c r="N453" s="10">
        <v>1078776.8</v>
      </c>
      <c r="O453" s="34">
        <v>21446105.41</v>
      </c>
      <c r="P453" s="34">
        <v>12674423.210000001</v>
      </c>
      <c r="Q453" s="34">
        <v>18038751</v>
      </c>
      <c r="R453" s="10">
        <v>2847871.78</v>
      </c>
      <c r="S453" s="10">
        <v>532555067.99000001</v>
      </c>
      <c r="T453" s="10">
        <v>14621654.720000001</v>
      </c>
      <c r="U453" s="10">
        <v>57170.49</v>
      </c>
      <c r="V453" s="10">
        <v>70578.92</v>
      </c>
      <c r="W453" s="25">
        <v>30900</v>
      </c>
      <c r="X453" s="34">
        <v>60607.88</v>
      </c>
      <c r="Y453" s="10">
        <v>737967872.71000004</v>
      </c>
    </row>
    <row r="454" spans="1:25" x14ac:dyDescent="0.3">
      <c r="A454" s="7">
        <v>38596</v>
      </c>
      <c r="B454" s="2">
        <f>A454-21916</f>
        <v>16680</v>
      </c>
      <c r="C454" s="10">
        <v>90301251.890000001</v>
      </c>
      <c r="D454" s="10">
        <v>149703839.03</v>
      </c>
      <c r="E454" s="10">
        <v>2556126.2799999998</v>
      </c>
      <c r="F454" s="10">
        <v>5788427.1699999999</v>
      </c>
      <c r="G454" s="10">
        <v>54741928.600000001</v>
      </c>
      <c r="H454" s="10">
        <v>5745992.1500000004</v>
      </c>
      <c r="I454" s="10">
        <v>10551208.08</v>
      </c>
      <c r="J454" s="10">
        <v>1766607.2</v>
      </c>
      <c r="K454" s="10">
        <v>17658353.399999999</v>
      </c>
      <c r="L454" s="10">
        <v>915154.29</v>
      </c>
      <c r="M454" s="10">
        <v>3767824.17</v>
      </c>
      <c r="N454" s="10">
        <v>2672484.27</v>
      </c>
      <c r="O454" s="34">
        <v>25218120.760000002</v>
      </c>
      <c r="P454" s="34">
        <v>33540.109999999404</v>
      </c>
      <c r="Q454" s="34">
        <v>18538580.239999998</v>
      </c>
      <c r="R454" s="10">
        <v>3234631.15</v>
      </c>
      <c r="S454" s="10">
        <v>537584741.52999997</v>
      </c>
      <c r="T454" s="10">
        <v>14793184.310000001</v>
      </c>
      <c r="U454" s="10">
        <v>66633.55</v>
      </c>
      <c r="V454" s="10">
        <v>102935.01</v>
      </c>
      <c r="W454" s="25">
        <v>8010</v>
      </c>
      <c r="X454" s="34">
        <v>23062.09</v>
      </c>
      <c r="Y454" s="10">
        <v>945772635.27999985</v>
      </c>
    </row>
    <row r="455" spans="1:25" x14ac:dyDescent="0.3">
      <c r="A455" s="7">
        <v>38626</v>
      </c>
      <c r="B455" s="2">
        <f t="shared" si="6"/>
        <v>16710</v>
      </c>
      <c r="C455" s="10">
        <v>29437814.309999999</v>
      </c>
      <c r="D455" s="10">
        <v>-14031911.5</v>
      </c>
      <c r="E455" s="10">
        <v>2296991.06</v>
      </c>
      <c r="F455" s="10">
        <v>7398752.1600000001</v>
      </c>
      <c r="G455" s="10">
        <v>51150570.829999998</v>
      </c>
      <c r="H455" s="10">
        <v>5452143.21</v>
      </c>
      <c r="I455" s="10">
        <v>8976329.8100000005</v>
      </c>
      <c r="J455" s="10">
        <v>1338007.05</v>
      </c>
      <c r="K455" s="10">
        <v>19339105.140000001</v>
      </c>
      <c r="L455" s="10">
        <v>935534.35</v>
      </c>
      <c r="M455" s="10">
        <v>3772595.68</v>
      </c>
      <c r="N455" s="10">
        <v>1345979.4</v>
      </c>
      <c r="O455" s="34">
        <v>26318041.579999998</v>
      </c>
      <c r="P455" s="34">
        <v>29687.039999999106</v>
      </c>
      <c r="Q455" s="34">
        <v>18344253.32</v>
      </c>
      <c r="R455" s="10">
        <v>3124148.94</v>
      </c>
      <c r="S455" s="10">
        <v>532454115.81</v>
      </c>
      <c r="T455" s="10">
        <v>16402774.17</v>
      </c>
      <c r="U455" s="10">
        <v>60319</v>
      </c>
      <c r="V455" s="10">
        <v>92407.41</v>
      </c>
      <c r="W455" s="25">
        <v>8490</v>
      </c>
      <c r="X455" s="34">
        <v>34103.129999999997</v>
      </c>
      <c r="Y455" s="10">
        <v>714280251.89999986</v>
      </c>
    </row>
    <row r="456" spans="1:25" x14ac:dyDescent="0.3">
      <c r="A456" s="7">
        <v>38657</v>
      </c>
      <c r="B456" s="2">
        <f t="shared" si="6"/>
        <v>16741</v>
      </c>
      <c r="C456" s="10">
        <v>18229551.640000001</v>
      </c>
      <c r="D456" s="10">
        <v>33140147.510000002</v>
      </c>
      <c r="E456" s="10">
        <v>951836.07</v>
      </c>
      <c r="F456" s="10">
        <v>12135531.25</v>
      </c>
      <c r="G456" s="10">
        <v>53980006.859999999</v>
      </c>
      <c r="H456" s="10">
        <v>5804226.54</v>
      </c>
      <c r="I456" s="10">
        <v>11325675.33</v>
      </c>
      <c r="J456" s="10">
        <v>1461490.73</v>
      </c>
      <c r="K456" s="10">
        <v>16325206.560000001</v>
      </c>
      <c r="L456" s="10">
        <v>798196</v>
      </c>
      <c r="M456" s="10">
        <v>4268071.4000000004</v>
      </c>
      <c r="N456" s="10">
        <v>670756.79</v>
      </c>
      <c r="O456" s="34">
        <v>22333957.190000001</v>
      </c>
      <c r="P456" s="34">
        <v>213400.71999999881</v>
      </c>
      <c r="Q456" s="34">
        <v>18344253.32</v>
      </c>
      <c r="R456" s="10">
        <v>3090707.06</v>
      </c>
      <c r="S456" s="10">
        <v>515242291.30000001</v>
      </c>
      <c r="T456" s="10">
        <v>16833001.719999999</v>
      </c>
      <c r="U456" s="10">
        <v>55293</v>
      </c>
      <c r="V456" s="10">
        <v>110156.98</v>
      </c>
      <c r="W456" s="25">
        <v>6660</v>
      </c>
      <c r="X456" s="34">
        <v>86771.44</v>
      </c>
      <c r="Y456" s="10">
        <v>735407189.41000009</v>
      </c>
    </row>
    <row r="457" spans="1:25" x14ac:dyDescent="0.3">
      <c r="A457" s="7">
        <v>38687</v>
      </c>
      <c r="B457" s="2">
        <f>A457-21916</f>
        <v>16771</v>
      </c>
      <c r="C457" s="10">
        <v>53174998.75</v>
      </c>
      <c r="D457" s="10">
        <v>82825933.170000002</v>
      </c>
      <c r="E457" s="10">
        <v>3516358.55</v>
      </c>
      <c r="F457" s="10">
        <v>3342620.53</v>
      </c>
      <c r="G457" s="10">
        <v>48580080.409999996</v>
      </c>
      <c r="H457" s="10">
        <v>5242678.2</v>
      </c>
      <c r="I457" s="10">
        <v>9561308.3100000005</v>
      </c>
      <c r="J457" s="10">
        <v>1392269.47</v>
      </c>
      <c r="K457" s="10">
        <v>14920633.52</v>
      </c>
      <c r="L457" s="10">
        <v>797986.51</v>
      </c>
      <c r="M457" s="10">
        <v>3832009.35</v>
      </c>
      <c r="N457" s="10">
        <v>1438854.63</v>
      </c>
      <c r="O457" s="34">
        <v>21108771.100000001</v>
      </c>
      <c r="P457" s="34">
        <v>-103957.6400000006</v>
      </c>
      <c r="Q457" s="34">
        <v>18344253.32</v>
      </c>
      <c r="R457" s="10">
        <v>3647203.21</v>
      </c>
      <c r="S457" s="10">
        <v>523271450.77999997</v>
      </c>
      <c r="T457" s="10">
        <v>15561155.140000001</v>
      </c>
      <c r="U457" s="10">
        <v>60817</v>
      </c>
      <c r="V457" s="10">
        <v>101676.64</v>
      </c>
      <c r="W457" s="25">
        <v>7090</v>
      </c>
      <c r="X457" s="34">
        <v>130071.93</v>
      </c>
      <c r="Y457" s="10">
        <v>810754262.87999988</v>
      </c>
    </row>
    <row r="458" spans="1:25" x14ac:dyDescent="0.3">
      <c r="A458" s="7">
        <v>38718</v>
      </c>
      <c r="B458" s="2">
        <f t="shared" si="6"/>
        <v>16802</v>
      </c>
      <c r="C458" s="10">
        <v>37383551.079999998</v>
      </c>
      <c r="D458" s="10">
        <v>81616213.140000001</v>
      </c>
      <c r="E458" s="10">
        <v>3848431.29</v>
      </c>
      <c r="F458" s="10">
        <v>3854300.86</v>
      </c>
      <c r="G458" s="10">
        <v>52188123.18</v>
      </c>
      <c r="H458" s="10">
        <v>5417182.6500000004</v>
      </c>
      <c r="I458" s="10">
        <v>9804731.8800000008</v>
      </c>
      <c r="J458" s="10">
        <v>1349065.03</v>
      </c>
      <c r="K458" s="10">
        <v>16401535.619999999</v>
      </c>
      <c r="L458" s="10">
        <v>847482.81</v>
      </c>
      <c r="M458" s="10">
        <v>4629321.45</v>
      </c>
      <c r="N458" s="10">
        <v>1227458.6299999999</v>
      </c>
      <c r="O458" s="34">
        <v>25689445.379999999</v>
      </c>
      <c r="P458" s="34">
        <v>92243.210000000894</v>
      </c>
      <c r="Q458" s="34">
        <v>18344253.32</v>
      </c>
      <c r="R458" s="10">
        <v>4793844.47</v>
      </c>
      <c r="S458" s="10">
        <v>672806096.15999997</v>
      </c>
      <c r="T458" s="10">
        <v>13744008.880000001</v>
      </c>
      <c r="U458" s="10">
        <v>58131.66</v>
      </c>
      <c r="V458" s="10">
        <v>99870.86</v>
      </c>
      <c r="W458" s="25">
        <v>0</v>
      </c>
      <c r="X458" s="34">
        <v>136360.07</v>
      </c>
      <c r="Y458" s="10">
        <v>954331651.63</v>
      </c>
    </row>
    <row r="459" spans="1:25" x14ac:dyDescent="0.3">
      <c r="A459" s="7">
        <v>38749</v>
      </c>
      <c r="B459" s="2">
        <f t="shared" ref="B459:B514" si="7">A459-21916</f>
        <v>16833</v>
      </c>
      <c r="C459" s="10">
        <v>12537397.699999999</v>
      </c>
      <c r="D459" s="10">
        <v>3790946.1</v>
      </c>
      <c r="E459" s="10">
        <v>2674354.5499999998</v>
      </c>
      <c r="F459" s="10">
        <v>4365725.4800000004</v>
      </c>
      <c r="G459" s="10">
        <v>46911319.289999999</v>
      </c>
      <c r="H459" s="10">
        <v>5077626.0199999996</v>
      </c>
      <c r="I459" s="10">
        <v>10979709.560000001</v>
      </c>
      <c r="J459" s="10">
        <v>1355181</v>
      </c>
      <c r="K459" s="10">
        <v>22357500.100000001</v>
      </c>
      <c r="L459" s="10">
        <v>844211.25</v>
      </c>
      <c r="M459" s="10">
        <v>4015964.39</v>
      </c>
      <c r="N459" s="10">
        <v>1736890.29</v>
      </c>
      <c r="O459" s="34">
        <v>19866525.68</v>
      </c>
      <c r="P459" s="34">
        <v>199298.10000000149</v>
      </c>
      <c r="Q459" s="34">
        <v>18344253.32</v>
      </c>
      <c r="R459" s="10">
        <v>2380101.7000000002</v>
      </c>
      <c r="S459" s="10">
        <v>483846493.25999999</v>
      </c>
      <c r="T459" s="10">
        <v>15459309.210000001</v>
      </c>
      <c r="U459" s="10">
        <v>56958</v>
      </c>
      <c r="V459" s="10">
        <v>85607.28</v>
      </c>
      <c r="W459" s="25">
        <v>1670</v>
      </c>
      <c r="X459" s="34">
        <v>110773.82</v>
      </c>
      <c r="Y459" s="10">
        <v>656997816.10000002</v>
      </c>
    </row>
    <row r="460" spans="1:25" x14ac:dyDescent="0.3">
      <c r="A460" s="7">
        <v>38777</v>
      </c>
      <c r="B460" s="2">
        <f t="shared" si="7"/>
        <v>16861</v>
      </c>
      <c r="C460" s="10">
        <v>45864320.18</v>
      </c>
      <c r="D460" s="10">
        <v>77053214.329999998</v>
      </c>
      <c r="E460" s="10">
        <v>13025454.130000001</v>
      </c>
      <c r="F460" s="10">
        <v>4385983.54</v>
      </c>
      <c r="G460" s="10">
        <v>41670056.57</v>
      </c>
      <c r="H460" s="10">
        <v>4589951.34</v>
      </c>
      <c r="I460" s="10">
        <v>10948277.49</v>
      </c>
      <c r="J460" s="10">
        <v>1334123.96</v>
      </c>
      <c r="K460" s="10">
        <v>25455703.079999998</v>
      </c>
      <c r="L460" s="10">
        <v>1016133.15</v>
      </c>
      <c r="M460" s="10">
        <v>3984104.45</v>
      </c>
      <c r="N460" s="10">
        <v>2726277.21</v>
      </c>
      <c r="O460" s="34">
        <v>18463786.350000001</v>
      </c>
      <c r="P460" s="34">
        <v>16072.120000001043</v>
      </c>
      <c r="Q460" s="34">
        <v>18344253.32</v>
      </c>
      <c r="R460" s="10">
        <v>2630940.38</v>
      </c>
      <c r="S460" s="10">
        <v>482587620.88</v>
      </c>
      <c r="T460" s="10">
        <v>10221791.220000001</v>
      </c>
      <c r="U460" s="10">
        <v>52653</v>
      </c>
      <c r="V460" s="10">
        <v>81330.850000000006</v>
      </c>
      <c r="W460" s="25">
        <v>25</v>
      </c>
      <c r="X460" s="34">
        <v>127181.12</v>
      </c>
      <c r="Y460" s="10">
        <v>764579253.67000008</v>
      </c>
    </row>
    <row r="461" spans="1:25" x14ac:dyDescent="0.3">
      <c r="A461" s="7">
        <v>38808</v>
      </c>
      <c r="B461" s="2">
        <f t="shared" si="7"/>
        <v>16892</v>
      </c>
      <c r="C461" s="10">
        <v>138932219.28999999</v>
      </c>
      <c r="D461" s="10">
        <v>248312574.15000001</v>
      </c>
      <c r="E461" s="10">
        <v>154291308.65000001</v>
      </c>
      <c r="F461" s="10">
        <v>14374132.17</v>
      </c>
      <c r="G461" s="10">
        <v>49626619.219999999</v>
      </c>
      <c r="H461" s="10">
        <v>5284886.47</v>
      </c>
      <c r="I461" s="10">
        <v>9947351.5199999996</v>
      </c>
      <c r="J461" s="10">
        <v>1736121.13</v>
      </c>
      <c r="K461" s="10">
        <v>30000512.059999999</v>
      </c>
      <c r="L461" s="10">
        <v>871194.93</v>
      </c>
      <c r="M461" s="10">
        <v>4274023.47</v>
      </c>
      <c r="N461" s="10">
        <v>2413404.62</v>
      </c>
      <c r="O461" s="34">
        <v>25836361.98</v>
      </c>
      <c r="P461" s="34">
        <v>26269.489999998361</v>
      </c>
      <c r="Q461" s="34">
        <v>18344253.32</v>
      </c>
      <c r="R461" s="10">
        <v>3926428</v>
      </c>
      <c r="S461" s="10">
        <v>564233541.25</v>
      </c>
      <c r="T461" s="10">
        <v>17723813.02</v>
      </c>
      <c r="U461" s="10">
        <v>62413.51</v>
      </c>
      <c r="V461" s="10">
        <v>78574.91</v>
      </c>
      <c r="W461" s="25">
        <v>23</v>
      </c>
      <c r="X461" s="34">
        <v>33581.629999999997</v>
      </c>
      <c r="Y461" s="10">
        <v>1290329607.7900002</v>
      </c>
    </row>
    <row r="462" spans="1:25" x14ac:dyDescent="0.3">
      <c r="A462" s="7">
        <v>38838</v>
      </c>
      <c r="B462" s="2">
        <f t="shared" si="7"/>
        <v>16922</v>
      </c>
      <c r="C462" s="10">
        <v>21651729.25</v>
      </c>
      <c r="D462" s="10">
        <v>35887268.079999998</v>
      </c>
      <c r="E462" s="10">
        <v>5164129.08</v>
      </c>
      <c r="F462" s="10">
        <v>2090613.46</v>
      </c>
      <c r="G462" s="10">
        <v>53240273.789999999</v>
      </c>
      <c r="H462" s="10">
        <v>5582495</v>
      </c>
      <c r="I462" s="10">
        <v>11294512.800000001</v>
      </c>
      <c r="J462" s="10">
        <v>1622603.67</v>
      </c>
      <c r="K462" s="10">
        <v>23772076.109999999</v>
      </c>
      <c r="L462" s="10">
        <v>1009815.2</v>
      </c>
      <c r="M462" s="10">
        <v>4208267.87</v>
      </c>
      <c r="N462" s="10">
        <v>-2807357.41</v>
      </c>
      <c r="O462" s="34">
        <v>51221260.509999998</v>
      </c>
      <c r="P462" s="34">
        <v>114176.8599999994</v>
      </c>
      <c r="Q462" s="34">
        <v>18344253.32</v>
      </c>
      <c r="R462" s="10">
        <v>3267888.49</v>
      </c>
      <c r="S462" s="10">
        <v>532294433.19999999</v>
      </c>
      <c r="T462" s="10">
        <v>14855394.35</v>
      </c>
      <c r="U462" s="10">
        <v>52321</v>
      </c>
      <c r="V462" s="10">
        <v>94894.23</v>
      </c>
      <c r="W462" s="25">
        <v>3300</v>
      </c>
      <c r="X462" s="34">
        <v>63728.33</v>
      </c>
      <c r="Y462" s="10">
        <v>783028077.19000006</v>
      </c>
    </row>
    <row r="463" spans="1:25" x14ac:dyDescent="0.3">
      <c r="A463" s="7">
        <v>38869</v>
      </c>
      <c r="B463" s="2">
        <f t="shared" si="7"/>
        <v>16953</v>
      </c>
      <c r="C463" s="10">
        <v>91512056.700000003</v>
      </c>
      <c r="D463" s="10">
        <v>164347112.83000001</v>
      </c>
      <c r="E463" s="10">
        <v>1984124.39</v>
      </c>
      <c r="F463" s="10">
        <v>4711232.97</v>
      </c>
      <c r="G463" s="10">
        <v>50982722.299999997</v>
      </c>
      <c r="H463" s="10">
        <v>5540279.3099999996</v>
      </c>
      <c r="I463" s="10">
        <v>10462441.59</v>
      </c>
      <c r="J463" s="10">
        <v>1760720.47</v>
      </c>
      <c r="K463" s="10">
        <v>24952082.690000001</v>
      </c>
      <c r="L463" s="10">
        <v>993116.75</v>
      </c>
      <c r="M463" s="10">
        <v>4362647.67</v>
      </c>
      <c r="N463" s="10">
        <v>104058863</v>
      </c>
      <c r="O463" s="34">
        <v>47819806.280000001</v>
      </c>
      <c r="P463" s="34">
        <v>830660.0700000003</v>
      </c>
      <c r="Q463" s="34">
        <v>18344253.32</v>
      </c>
      <c r="R463" s="10">
        <v>3540072.03</v>
      </c>
      <c r="S463" s="10">
        <v>553871734.07000005</v>
      </c>
      <c r="T463" s="10">
        <v>14076795.18</v>
      </c>
      <c r="U463" s="10">
        <v>47394.43</v>
      </c>
      <c r="V463" s="10">
        <v>106710.08</v>
      </c>
      <c r="W463" s="25">
        <v>90400</v>
      </c>
      <c r="X463" s="34">
        <v>73670.2</v>
      </c>
      <c r="Y463" s="10">
        <v>1104468896.3300002</v>
      </c>
    </row>
    <row r="464" spans="1:25" x14ac:dyDescent="0.3">
      <c r="A464" s="7">
        <v>38899</v>
      </c>
      <c r="B464" s="2">
        <f t="shared" si="7"/>
        <v>16983</v>
      </c>
      <c r="C464" s="10">
        <v>26666743.16</v>
      </c>
      <c r="D464" s="10">
        <v>33020752.949999999</v>
      </c>
      <c r="E464" s="10">
        <v>1243118.07</v>
      </c>
      <c r="F464" s="10">
        <v>6972715.75</v>
      </c>
      <c r="G464" s="10">
        <v>53455287.729999997</v>
      </c>
      <c r="H464" s="10">
        <v>5602751.4299999997</v>
      </c>
      <c r="I464" s="10">
        <v>9912108.6899999995</v>
      </c>
      <c r="J464" s="10">
        <v>1723240.31</v>
      </c>
      <c r="K464" s="10">
        <v>21289197.829999998</v>
      </c>
      <c r="L464" s="10">
        <v>909291.68</v>
      </c>
      <c r="M464" s="10">
        <v>4156371.21</v>
      </c>
      <c r="N464" s="10">
        <v>1573526.98</v>
      </c>
      <c r="O464" s="34">
        <v>30375593.93</v>
      </c>
      <c r="P464" s="34">
        <v>7029442.6600000001</v>
      </c>
      <c r="Q464" s="34">
        <v>18344253.32</v>
      </c>
      <c r="R464" s="10">
        <v>3699612.82</v>
      </c>
      <c r="S464" s="10">
        <v>591196781.07000005</v>
      </c>
      <c r="T464" s="10">
        <v>16948142.289999999</v>
      </c>
      <c r="U464" s="10">
        <v>49880.53</v>
      </c>
      <c r="V464" s="10">
        <v>103601.98</v>
      </c>
      <c r="W464" s="25">
        <v>147870</v>
      </c>
      <c r="X464" s="34">
        <v>48076.41</v>
      </c>
      <c r="Y464" s="10">
        <v>834468360.79999995</v>
      </c>
    </row>
    <row r="465" spans="1:25" x14ac:dyDescent="0.3">
      <c r="A465" s="7">
        <v>38930</v>
      </c>
      <c r="B465" s="2">
        <f t="shared" si="7"/>
        <v>17014</v>
      </c>
      <c r="C465" s="10">
        <v>9139228.8499999996</v>
      </c>
      <c r="D465" s="10">
        <v>18983871.93</v>
      </c>
      <c r="E465" s="10">
        <v>2836426.67</v>
      </c>
      <c r="F465" s="10">
        <v>6824497.8700000001</v>
      </c>
      <c r="G465" s="10">
        <v>49728028.109999999</v>
      </c>
      <c r="H465" s="10">
        <v>5318388.92</v>
      </c>
      <c r="I465" s="10">
        <v>10922877.800000001</v>
      </c>
      <c r="J465" s="10">
        <v>1598577.16</v>
      </c>
      <c r="K465" s="10">
        <v>20777873.059999999</v>
      </c>
      <c r="L465" s="10">
        <v>1055106.49</v>
      </c>
      <c r="M465" s="10">
        <v>4195921.59</v>
      </c>
      <c r="N465" s="10">
        <v>3080813.45</v>
      </c>
      <c r="O465" s="34">
        <v>24414652.989999998</v>
      </c>
      <c r="P465" s="34">
        <v>13698911.18</v>
      </c>
      <c r="Q465" s="34">
        <v>18344253.32</v>
      </c>
      <c r="R465" s="10">
        <v>2762344.14</v>
      </c>
      <c r="S465" s="10">
        <v>558419207.75</v>
      </c>
      <c r="T465" s="10">
        <v>16210235.439999999</v>
      </c>
      <c r="U465" s="10">
        <v>50379.58</v>
      </c>
      <c r="V465" s="10">
        <v>88083.47</v>
      </c>
      <c r="W465" s="25">
        <v>30900</v>
      </c>
      <c r="X465" s="34">
        <v>60607.88</v>
      </c>
      <c r="Y465" s="10">
        <v>768564947.91000009</v>
      </c>
    </row>
    <row r="466" spans="1:25" x14ac:dyDescent="0.3">
      <c r="A466" s="7">
        <v>38961</v>
      </c>
      <c r="B466" s="2">
        <f t="shared" si="7"/>
        <v>17045</v>
      </c>
      <c r="C466" s="10">
        <v>88617188.879999995</v>
      </c>
      <c r="D466" s="10">
        <v>170493507.41</v>
      </c>
      <c r="E466" s="10">
        <v>926251.32</v>
      </c>
      <c r="F466" s="10">
        <v>5410268.1600000001</v>
      </c>
      <c r="G466" s="10">
        <v>53018245.700000003</v>
      </c>
      <c r="H466" s="10">
        <v>5659623.3099999996</v>
      </c>
      <c r="I466" s="10">
        <v>10122970.65</v>
      </c>
      <c r="J466" s="10">
        <v>1645034.93</v>
      </c>
      <c r="K466" s="10">
        <v>20766793.280000001</v>
      </c>
      <c r="L466" s="10">
        <v>952513</v>
      </c>
      <c r="M466" s="10">
        <v>4232242.93</v>
      </c>
      <c r="N466" s="10">
        <v>1357500.33</v>
      </c>
      <c r="O466" s="34">
        <v>24529179.879999999</v>
      </c>
      <c r="P466" s="34">
        <v>445427.83999999985</v>
      </c>
      <c r="Q466" s="34">
        <v>17987446.129999999</v>
      </c>
      <c r="R466" s="10">
        <v>3451239.19</v>
      </c>
      <c r="S466" s="10">
        <v>553587432.19000006</v>
      </c>
      <c r="T466" s="10">
        <v>13855959.25</v>
      </c>
      <c r="U466" s="10">
        <v>48651.03</v>
      </c>
      <c r="V466" s="10">
        <v>44235.23</v>
      </c>
      <c r="W466" s="25">
        <v>7340</v>
      </c>
      <c r="X466" s="34">
        <v>252915.29</v>
      </c>
      <c r="Y466" s="10">
        <v>977411965.92999995</v>
      </c>
    </row>
    <row r="467" spans="1:25" x14ac:dyDescent="0.3">
      <c r="A467" s="7">
        <v>38991</v>
      </c>
      <c r="B467" s="2">
        <f t="shared" si="7"/>
        <v>17075</v>
      </c>
      <c r="C467" s="10">
        <v>34557809.25</v>
      </c>
      <c r="D467" s="10">
        <v>-27000090.379999999</v>
      </c>
      <c r="E467" s="10">
        <v>3647180.08</v>
      </c>
      <c r="F467" s="10">
        <v>14745086.529999999</v>
      </c>
      <c r="G467" s="10">
        <v>50754221.189999998</v>
      </c>
      <c r="H467" s="10">
        <v>5336294.92</v>
      </c>
      <c r="I467" s="10">
        <v>10365387.779999999</v>
      </c>
      <c r="J467" s="10">
        <v>1546026.65</v>
      </c>
      <c r="K467" s="10">
        <v>18706025.91</v>
      </c>
      <c r="L467" s="10">
        <v>928543.25</v>
      </c>
      <c r="M467" s="10">
        <v>4275824.09</v>
      </c>
      <c r="N467" s="10">
        <v>1331853.4099999999</v>
      </c>
      <c r="O467" s="34">
        <v>25688420.66</v>
      </c>
      <c r="P467" s="34">
        <v>69492.260000001639</v>
      </c>
      <c r="Q467" s="34">
        <v>21114561.350000001</v>
      </c>
      <c r="R467" s="10">
        <v>3089837.69</v>
      </c>
      <c r="S467" s="10">
        <v>564131235.62</v>
      </c>
      <c r="T467" s="10">
        <v>18229118.59</v>
      </c>
      <c r="U467" s="10">
        <v>51411.27</v>
      </c>
      <c r="V467" s="10">
        <v>57981.3</v>
      </c>
      <c r="W467" s="25">
        <v>20870</v>
      </c>
      <c r="X467" s="34">
        <v>77873.86</v>
      </c>
      <c r="Y467" s="10">
        <v>751724965.27999997</v>
      </c>
    </row>
    <row r="468" spans="1:25" x14ac:dyDescent="0.3">
      <c r="A468" s="7">
        <v>39022</v>
      </c>
      <c r="B468" s="2">
        <f t="shared" si="7"/>
        <v>17106</v>
      </c>
      <c r="C468" s="10">
        <v>25645029</v>
      </c>
      <c r="D468" s="10">
        <v>22996544.66</v>
      </c>
      <c r="E468" s="10">
        <v>478421.99</v>
      </c>
      <c r="F468" s="10">
        <v>14119001.310000001</v>
      </c>
      <c r="G468" s="10">
        <v>47644308.07</v>
      </c>
      <c r="H468" s="10">
        <v>5395295.3200000003</v>
      </c>
      <c r="I468" s="10">
        <v>10703047.130000001</v>
      </c>
      <c r="J468" s="10">
        <v>1536821.09</v>
      </c>
      <c r="K468" s="10">
        <v>17001340.030000001</v>
      </c>
      <c r="L468" s="10">
        <v>787081.2</v>
      </c>
      <c r="M468" s="10">
        <v>4389884.3499999996</v>
      </c>
      <c r="N468" s="10">
        <v>980462.36</v>
      </c>
      <c r="O468" s="34">
        <v>24967666.789999999</v>
      </c>
      <c r="P468" s="34">
        <v>-83824.190000001341</v>
      </c>
      <c r="Q468" s="34">
        <v>21114561.350000001</v>
      </c>
      <c r="R468" s="10">
        <v>3429254.08</v>
      </c>
      <c r="S468" s="10">
        <v>535751907.26999998</v>
      </c>
      <c r="T468" s="10">
        <v>16209234.51</v>
      </c>
      <c r="U468" s="10">
        <v>53365</v>
      </c>
      <c r="V468" s="10">
        <v>55895.66</v>
      </c>
      <c r="W468" s="25">
        <v>3690</v>
      </c>
      <c r="X468" s="34">
        <v>167218.32999999999</v>
      </c>
      <c r="Y468" s="10">
        <v>753346205.30999994</v>
      </c>
    </row>
    <row r="469" spans="1:25" x14ac:dyDescent="0.3">
      <c r="A469" s="7">
        <v>39052</v>
      </c>
      <c r="B469" s="2">
        <f t="shared" si="7"/>
        <v>17136</v>
      </c>
      <c r="C469" s="10">
        <v>45755772.270000003</v>
      </c>
      <c r="D469" s="10">
        <v>174641640.66999999</v>
      </c>
      <c r="E469" s="10">
        <v>3588594.7</v>
      </c>
      <c r="F469" s="10">
        <v>7598895.3799999999</v>
      </c>
      <c r="G469" s="10">
        <v>53999688.409999996</v>
      </c>
      <c r="H469" s="10">
        <v>5631688.1799999997</v>
      </c>
      <c r="I469" s="10">
        <v>10714543.17</v>
      </c>
      <c r="J469" s="10">
        <v>1296596.9099999999</v>
      </c>
      <c r="K469" s="10">
        <v>15605441.08</v>
      </c>
      <c r="L469" s="10">
        <v>790290.4</v>
      </c>
      <c r="M469" s="10">
        <v>4263463.78</v>
      </c>
      <c r="N469" s="10">
        <v>1305054.0900000001</v>
      </c>
      <c r="O469" s="34">
        <v>20846977.140000001</v>
      </c>
      <c r="P469" s="34">
        <v>120005.16000000015</v>
      </c>
      <c r="Q469" s="34">
        <v>21114561.350000001</v>
      </c>
      <c r="R469" s="10">
        <v>3784563.74</v>
      </c>
      <c r="S469" s="10">
        <v>537361365.75</v>
      </c>
      <c r="T469" s="10">
        <v>11005008.34</v>
      </c>
      <c r="U469" s="10">
        <v>46502.89</v>
      </c>
      <c r="V469" s="10">
        <v>79433.84</v>
      </c>
      <c r="W469" s="25">
        <v>16753.88</v>
      </c>
      <c r="X469" s="34">
        <v>170655.91</v>
      </c>
      <c r="Y469" s="10">
        <v>919737497.03999996</v>
      </c>
    </row>
    <row r="470" spans="1:25" x14ac:dyDescent="0.3">
      <c r="A470" s="7">
        <v>39083</v>
      </c>
      <c r="B470" s="2">
        <f t="shared" si="7"/>
        <v>17167</v>
      </c>
      <c r="C470" s="10">
        <v>45092677.280000001</v>
      </c>
      <c r="D470" s="10">
        <v>86326470.939999998</v>
      </c>
      <c r="E470" s="10">
        <v>6670435.4900000002</v>
      </c>
      <c r="F470" s="10">
        <v>3071283.87</v>
      </c>
      <c r="G470" s="10">
        <v>56418070.350000001</v>
      </c>
      <c r="H470" s="10">
        <v>5785493.46</v>
      </c>
      <c r="I470" s="10">
        <v>8151896.3099999996</v>
      </c>
      <c r="J470" s="10">
        <v>1247379.6499999999</v>
      </c>
      <c r="K470" s="10">
        <v>18388525.850000001</v>
      </c>
      <c r="L470" s="10">
        <v>926848.2</v>
      </c>
      <c r="M470" s="10">
        <v>5122947.6900000004</v>
      </c>
      <c r="N470" s="10">
        <v>1233726.23</v>
      </c>
      <c r="O470" s="34">
        <v>25770997.5</v>
      </c>
      <c r="P470" s="34">
        <v>69268</v>
      </c>
      <c r="Q470" s="34">
        <v>21114561.350000001</v>
      </c>
      <c r="R470" s="10">
        <v>4854136.18</v>
      </c>
      <c r="S470" s="10">
        <v>702671099.67999995</v>
      </c>
      <c r="T470" s="10">
        <v>17469984.960000001</v>
      </c>
      <c r="U470" s="10">
        <v>40808</v>
      </c>
      <c r="V470" s="10">
        <v>129916.02</v>
      </c>
      <c r="W470" s="25">
        <v>2170</v>
      </c>
      <c r="X470" s="34">
        <v>115357.28</v>
      </c>
      <c r="Y470" s="10">
        <v>1010674054.29</v>
      </c>
    </row>
    <row r="471" spans="1:25" x14ac:dyDescent="0.3">
      <c r="A471" s="7">
        <v>39114</v>
      </c>
      <c r="B471" s="2">
        <f t="shared" si="7"/>
        <v>17198</v>
      </c>
      <c r="C471" s="10">
        <v>14117195.380000001</v>
      </c>
      <c r="D471" s="10">
        <v>30082279.280000001</v>
      </c>
      <c r="E471" s="10">
        <v>2185563.7200000002</v>
      </c>
      <c r="F471" s="10">
        <v>4433953.5</v>
      </c>
      <c r="G471" s="10">
        <v>48685660.840000004</v>
      </c>
      <c r="H471" s="10">
        <v>5149790.26</v>
      </c>
      <c r="I471" s="10">
        <v>8843476.0800000001</v>
      </c>
      <c r="J471" s="10">
        <v>1539132.93</v>
      </c>
      <c r="K471" s="10">
        <v>24665511.600000001</v>
      </c>
      <c r="L471" s="10">
        <v>835840.25</v>
      </c>
      <c r="M471" s="10">
        <v>4092273.55</v>
      </c>
      <c r="N471" s="10">
        <v>760421.67</v>
      </c>
      <c r="O471" s="34">
        <v>23238035.960000001</v>
      </c>
      <c r="P471" s="34">
        <v>106923.46000000089</v>
      </c>
      <c r="Q471" s="34">
        <v>21114561.350000001</v>
      </c>
      <c r="R471" s="10">
        <v>2663858.52</v>
      </c>
      <c r="S471" s="10">
        <v>509471113.33999997</v>
      </c>
      <c r="T471" s="10">
        <v>14266361.779999999</v>
      </c>
      <c r="U471" s="10">
        <v>52020</v>
      </c>
      <c r="V471" s="10">
        <v>67862.44</v>
      </c>
      <c r="W471" s="25">
        <v>1080</v>
      </c>
      <c r="X471" s="34">
        <v>66929.16</v>
      </c>
      <c r="Y471" s="13">
        <v>716439845.07000005</v>
      </c>
    </row>
    <row r="472" spans="1:25" x14ac:dyDescent="0.3">
      <c r="A472" s="7">
        <v>39142</v>
      </c>
      <c r="B472" s="2">
        <f t="shared" si="7"/>
        <v>17226</v>
      </c>
      <c r="C472" s="10">
        <v>76928328.379999995</v>
      </c>
      <c r="D472" s="10">
        <v>136134997.77000001</v>
      </c>
      <c r="E472" s="10">
        <v>14757770.9</v>
      </c>
      <c r="F472" s="10">
        <v>6965010.8799999999</v>
      </c>
      <c r="G472" s="10">
        <v>45721025.890000001</v>
      </c>
      <c r="H472" s="10">
        <v>5001078.18</v>
      </c>
      <c r="I472" s="10">
        <v>16738727.359999999</v>
      </c>
      <c r="J472" s="10">
        <v>1400764.4</v>
      </c>
      <c r="K472" s="10">
        <v>25923984.620000001</v>
      </c>
      <c r="L472" s="10">
        <v>1027101.77</v>
      </c>
      <c r="M472" s="10">
        <v>4203296.53</v>
      </c>
      <c r="N472" s="10">
        <v>2652978.21</v>
      </c>
      <c r="O472" s="34">
        <v>20363932.370000001</v>
      </c>
      <c r="P472" s="34">
        <v>17928.640000000596</v>
      </c>
      <c r="Q472" s="34">
        <v>21114561.350000001</v>
      </c>
      <c r="R472" s="10">
        <v>3082991.9</v>
      </c>
      <c r="S472" s="10">
        <v>510013447.58999997</v>
      </c>
      <c r="T472" s="10">
        <v>12399051.32</v>
      </c>
      <c r="U472" s="10">
        <v>42589.06</v>
      </c>
      <c r="V472" s="10">
        <v>124178.19</v>
      </c>
      <c r="W472" s="25">
        <v>290</v>
      </c>
      <c r="X472" s="34">
        <v>311836.32</v>
      </c>
      <c r="Y472" s="13">
        <v>904925871.63</v>
      </c>
    </row>
    <row r="473" spans="1:25" x14ac:dyDescent="0.3">
      <c r="A473" s="7">
        <v>39173</v>
      </c>
      <c r="B473" s="2">
        <f t="shared" si="7"/>
        <v>17257</v>
      </c>
      <c r="C473" s="10">
        <v>142445269.44</v>
      </c>
      <c r="D473" s="10">
        <v>260190016.53</v>
      </c>
      <c r="E473" s="10">
        <v>201627415.00999999</v>
      </c>
      <c r="F473" s="10">
        <v>16428639.51</v>
      </c>
      <c r="G473" s="10">
        <v>47127255.960000001</v>
      </c>
      <c r="H473" s="10">
        <v>5265721.47</v>
      </c>
      <c r="I473" s="10">
        <v>16833564.949999999</v>
      </c>
      <c r="J473" s="10">
        <v>1701190.61</v>
      </c>
      <c r="K473" s="10">
        <v>29992299.449999999</v>
      </c>
      <c r="L473" s="10">
        <v>949869</v>
      </c>
      <c r="M473" s="10">
        <v>4848613.13</v>
      </c>
      <c r="N473" s="10">
        <v>1659262.25</v>
      </c>
      <c r="O473" s="34">
        <v>25702287.129999999</v>
      </c>
      <c r="P473" s="34">
        <v>106324.80999999866</v>
      </c>
      <c r="Q473" s="34">
        <v>21114561.350000001</v>
      </c>
      <c r="R473" s="10">
        <v>3665759.1</v>
      </c>
      <c r="S473" s="10">
        <v>601481402.74000001</v>
      </c>
      <c r="T473" s="10">
        <v>18218168.48</v>
      </c>
      <c r="U473" s="10">
        <v>49640.88</v>
      </c>
      <c r="V473" s="10">
        <v>94683</v>
      </c>
      <c r="W473" s="25">
        <v>3300</v>
      </c>
      <c r="X473" s="34">
        <v>79053.22</v>
      </c>
      <c r="Y473" s="10">
        <v>1399584298.0200002</v>
      </c>
    </row>
    <row r="474" spans="1:25" x14ac:dyDescent="0.3">
      <c r="A474" s="7">
        <v>39203</v>
      </c>
      <c r="B474" s="2">
        <f t="shared" si="7"/>
        <v>17287</v>
      </c>
      <c r="C474" s="10">
        <v>21308054.18</v>
      </c>
      <c r="D474" s="10">
        <v>19729244.829999998</v>
      </c>
      <c r="E474" s="10">
        <v>9298749.6300000008</v>
      </c>
      <c r="F474" s="10">
        <v>11539333.66</v>
      </c>
      <c r="G474" s="10">
        <v>51588508.140000001</v>
      </c>
      <c r="H474" s="10">
        <v>5376853.2400000002</v>
      </c>
      <c r="I474" s="10">
        <v>9220310.8300000001</v>
      </c>
      <c r="J474" s="10">
        <v>1554642.3</v>
      </c>
      <c r="K474" s="10">
        <v>21372140.16</v>
      </c>
      <c r="L474" s="10">
        <v>957325.03</v>
      </c>
      <c r="M474" s="10">
        <v>4583809.4800000004</v>
      </c>
      <c r="N474" s="10">
        <v>1285892.83</v>
      </c>
      <c r="O474" s="34">
        <v>47482081.310000002</v>
      </c>
      <c r="P474" s="34">
        <v>24496.25</v>
      </c>
      <c r="Q474" s="34">
        <v>21114561.350000001</v>
      </c>
      <c r="R474" s="10">
        <v>3420084.27</v>
      </c>
      <c r="S474" s="10">
        <v>548475553.78999996</v>
      </c>
      <c r="T474" s="10">
        <v>13589878.699999999</v>
      </c>
      <c r="U474" s="10">
        <v>39995.75</v>
      </c>
      <c r="V474" s="10">
        <v>55380.07</v>
      </c>
      <c r="W474" s="25">
        <v>4660</v>
      </c>
      <c r="X474" s="34">
        <v>120474.26</v>
      </c>
      <c r="Y474" s="10">
        <v>792142030.06000006</v>
      </c>
    </row>
    <row r="475" spans="1:25" x14ac:dyDescent="0.3">
      <c r="A475" s="7">
        <v>39234</v>
      </c>
      <c r="B475" s="2">
        <f t="shared" si="7"/>
        <v>17318</v>
      </c>
      <c r="C475" s="10">
        <v>104728682.26000001</v>
      </c>
      <c r="D475" s="10">
        <v>194822421.5</v>
      </c>
      <c r="E475" s="10">
        <v>1885133.24</v>
      </c>
      <c r="F475" s="10">
        <v>13081866.75</v>
      </c>
      <c r="G475" s="10">
        <v>51919296.850000001</v>
      </c>
      <c r="H475" s="10">
        <v>5566928.5199999996</v>
      </c>
      <c r="I475" s="10">
        <v>13273225.529999999</v>
      </c>
      <c r="J475" s="10">
        <v>1700288.18</v>
      </c>
      <c r="K475" s="10">
        <v>25444894.010000002</v>
      </c>
      <c r="L475" s="10">
        <v>962379.8</v>
      </c>
      <c r="M475" s="10">
        <v>4638365.83</v>
      </c>
      <c r="N475" s="10">
        <v>116757466.48999999</v>
      </c>
      <c r="O475" s="34">
        <v>56124539.960000001</v>
      </c>
      <c r="P475" s="34">
        <v>8296.4600000008941</v>
      </c>
      <c r="Q475" s="34">
        <v>21114561.350000001</v>
      </c>
      <c r="R475" s="10">
        <v>3703921.07</v>
      </c>
      <c r="S475" s="10">
        <v>580446021.16999996</v>
      </c>
      <c r="T475" s="10">
        <v>16191815.91</v>
      </c>
      <c r="U475" s="10">
        <v>37705.230000000003</v>
      </c>
      <c r="V475" s="10">
        <v>140212.26999999999</v>
      </c>
      <c r="W475" s="25">
        <v>65830</v>
      </c>
      <c r="X475" s="34">
        <v>88104.08</v>
      </c>
      <c r="Y475" s="10">
        <v>1212701956.46</v>
      </c>
    </row>
    <row r="476" spans="1:25" x14ac:dyDescent="0.3">
      <c r="A476" s="7">
        <v>39264</v>
      </c>
      <c r="B476" s="2">
        <f t="shared" si="7"/>
        <v>17348</v>
      </c>
      <c r="C476" s="10">
        <v>21114785.379999999</v>
      </c>
      <c r="D476" s="10">
        <v>32207371.359999999</v>
      </c>
      <c r="E476" s="10">
        <v>934331.14</v>
      </c>
      <c r="F476" s="10">
        <v>5709658.7199999997</v>
      </c>
      <c r="G476" s="10">
        <v>56165921.530000001</v>
      </c>
      <c r="H476" s="10">
        <v>5836155.46</v>
      </c>
      <c r="I476" s="10">
        <v>10074208.57</v>
      </c>
      <c r="J476" s="10">
        <v>1627032.87</v>
      </c>
      <c r="K476" s="10">
        <v>21215193.629999999</v>
      </c>
      <c r="L476" s="10">
        <v>931410.25</v>
      </c>
      <c r="M476" s="10">
        <v>4734036.66</v>
      </c>
      <c r="N476" s="10">
        <v>3125811.08</v>
      </c>
      <c r="O476" s="34">
        <v>31545962.75</v>
      </c>
      <c r="P476" s="34">
        <v>12219341.579999998</v>
      </c>
      <c r="Q476" s="34">
        <v>21114561.350000001</v>
      </c>
      <c r="R476" s="10">
        <v>3856653.87</v>
      </c>
      <c r="S476" s="10">
        <v>608432876.63</v>
      </c>
      <c r="T476" s="10">
        <v>18041523.16</v>
      </c>
      <c r="U476" s="10">
        <v>47412</v>
      </c>
      <c r="V476" s="10">
        <v>74548.509999999995</v>
      </c>
      <c r="W476" s="25">
        <v>179110</v>
      </c>
      <c r="X476" s="34">
        <v>62707.97</v>
      </c>
      <c r="Y476" s="10">
        <v>859250614.47000003</v>
      </c>
    </row>
    <row r="477" spans="1:25" x14ac:dyDescent="0.3">
      <c r="A477" s="7">
        <v>39295</v>
      </c>
      <c r="B477" s="2">
        <f t="shared" si="7"/>
        <v>17379</v>
      </c>
      <c r="C477" s="10">
        <v>16457803.17</v>
      </c>
      <c r="D477" s="10">
        <v>28107292.52</v>
      </c>
      <c r="E477" s="10">
        <v>1572207.88</v>
      </c>
      <c r="F477" s="10">
        <v>9294255.7200000007</v>
      </c>
      <c r="G477" s="10">
        <v>52073338.490000002</v>
      </c>
      <c r="H477" s="10">
        <v>5429914.4100000001</v>
      </c>
      <c r="I477" s="10">
        <v>17786537.829999998</v>
      </c>
      <c r="J477" s="10">
        <v>1899984.87</v>
      </c>
      <c r="K477" s="10">
        <v>20838768.43</v>
      </c>
      <c r="L477" s="10">
        <v>1024849.45</v>
      </c>
      <c r="M477" s="10">
        <v>4464008.3600000003</v>
      </c>
      <c r="N477" s="10">
        <v>1542851.33</v>
      </c>
      <c r="O477" s="34">
        <v>25770121.870000001</v>
      </c>
      <c r="P477" s="34">
        <v>13766632.859999999</v>
      </c>
      <c r="Q477" s="34">
        <v>21114561.350000001</v>
      </c>
      <c r="R477" s="10">
        <v>3101306.18</v>
      </c>
      <c r="S477" s="10">
        <v>571852141.88999999</v>
      </c>
      <c r="T477" s="10">
        <v>12755497.16</v>
      </c>
      <c r="U477" s="10">
        <v>38308</v>
      </c>
      <c r="V477" s="10">
        <v>147060.82999999999</v>
      </c>
      <c r="W477" s="25">
        <v>26034.51</v>
      </c>
      <c r="X477" s="34">
        <v>182116.27</v>
      </c>
      <c r="Y477" s="10">
        <v>809245593.38</v>
      </c>
    </row>
    <row r="478" spans="1:25" x14ac:dyDescent="0.3">
      <c r="A478" s="7">
        <v>39326</v>
      </c>
      <c r="B478" s="2">
        <f t="shared" si="7"/>
        <v>17410</v>
      </c>
      <c r="C478" s="10">
        <v>102908721.48999999</v>
      </c>
      <c r="D478" s="10">
        <v>191754539.96000001</v>
      </c>
      <c r="E478" s="10">
        <v>1334069.3</v>
      </c>
      <c r="F478" s="10">
        <v>7562819.7300000004</v>
      </c>
      <c r="G478" s="10">
        <v>56053666.640000001</v>
      </c>
      <c r="H478" s="10">
        <v>5987504.4199999999</v>
      </c>
      <c r="I478" s="10">
        <v>20606024.539999999</v>
      </c>
      <c r="J478" s="10">
        <v>1734602.47</v>
      </c>
      <c r="K478" s="10">
        <v>19777535.68</v>
      </c>
      <c r="L478" s="10">
        <v>856603.35</v>
      </c>
      <c r="M478" s="10">
        <v>4453402.5199999996</v>
      </c>
      <c r="N478" s="10">
        <v>3363176.2</v>
      </c>
      <c r="O478" s="34">
        <v>25272245.27</v>
      </c>
      <c r="P478" s="34">
        <v>144644.28999999911</v>
      </c>
      <c r="Q478" s="34">
        <v>29101873.890000001</v>
      </c>
      <c r="R478" s="10">
        <v>3574519.57</v>
      </c>
      <c r="S478" s="10">
        <v>573245886.98000002</v>
      </c>
      <c r="T478" s="10">
        <v>15931755.73</v>
      </c>
      <c r="U478" s="10">
        <v>48015.12</v>
      </c>
      <c r="V478" s="10">
        <v>130926.92</v>
      </c>
      <c r="W478" s="25">
        <v>7270</v>
      </c>
      <c r="X478" s="34">
        <v>202343.58</v>
      </c>
      <c r="Y478" s="10">
        <v>1064052147.6500001</v>
      </c>
    </row>
    <row r="479" spans="1:25" x14ac:dyDescent="0.3">
      <c r="A479" s="15">
        <v>39356</v>
      </c>
      <c r="B479" s="16">
        <f t="shared" si="7"/>
        <v>17440</v>
      </c>
      <c r="C479" s="13">
        <v>-4747659.17</v>
      </c>
      <c r="D479" s="13">
        <v>-53927115.030000001</v>
      </c>
      <c r="E479" s="13">
        <v>4710345.6399999997</v>
      </c>
      <c r="F479" s="13">
        <v>7022957.1100000003</v>
      </c>
      <c r="G479" s="13">
        <v>53514462.229999997</v>
      </c>
      <c r="H479" s="13">
        <v>5527106.29</v>
      </c>
      <c r="I479" s="13">
        <v>23135838.399999999</v>
      </c>
      <c r="J479" s="13">
        <v>1482735.99</v>
      </c>
      <c r="K479" s="13">
        <v>18322638.18</v>
      </c>
      <c r="L479" s="13">
        <v>1004633.5</v>
      </c>
      <c r="M479" s="13">
        <v>4627654.6100000003</v>
      </c>
      <c r="N479" s="13">
        <v>1091335.24</v>
      </c>
      <c r="O479" s="34">
        <v>24217563.219999999</v>
      </c>
      <c r="P479" s="34">
        <v>166916.01999999955</v>
      </c>
      <c r="Q479" s="34">
        <v>22011619.079999998</v>
      </c>
      <c r="R479" s="13">
        <v>3151373.52</v>
      </c>
      <c r="S479" s="13">
        <v>574524171.45000005</v>
      </c>
      <c r="T479" s="13">
        <v>17098310.039999999</v>
      </c>
      <c r="U479" s="10">
        <v>42624</v>
      </c>
      <c r="V479" s="10">
        <v>147160.64000000001</v>
      </c>
      <c r="W479" s="25">
        <v>7030</v>
      </c>
      <c r="X479" s="34">
        <v>343534.98</v>
      </c>
      <c r="Y479" s="13">
        <v>703475235.93999994</v>
      </c>
    </row>
    <row r="480" spans="1:25" x14ac:dyDescent="0.3">
      <c r="A480" s="15">
        <v>39387</v>
      </c>
      <c r="B480" s="16">
        <f t="shared" si="7"/>
        <v>17471</v>
      </c>
      <c r="C480" s="13">
        <v>40596046.640000001</v>
      </c>
      <c r="D480" s="13">
        <v>41358066.619999997</v>
      </c>
      <c r="E480" s="13">
        <v>700806.96</v>
      </c>
      <c r="F480" s="13">
        <v>5174290.29</v>
      </c>
      <c r="G480" s="13">
        <v>50778131.32</v>
      </c>
      <c r="H480" s="13">
        <v>5542439.6399999997</v>
      </c>
      <c r="I480" s="13">
        <v>26589707.960000001</v>
      </c>
      <c r="J480" s="13">
        <v>1613237.16</v>
      </c>
      <c r="K480" s="13">
        <v>18111715.640000001</v>
      </c>
      <c r="L480" s="13">
        <v>799389.67</v>
      </c>
      <c r="M480" s="13">
        <v>4595416.2</v>
      </c>
      <c r="N480" s="13">
        <v>913068.47</v>
      </c>
      <c r="O480" s="34">
        <v>21544262.969999999</v>
      </c>
      <c r="P480" s="34">
        <v>26088.710000000894</v>
      </c>
      <c r="Q480" s="34">
        <v>22011619.079999998</v>
      </c>
      <c r="R480" s="13">
        <v>3684436.44</v>
      </c>
      <c r="S480" s="13">
        <v>559374112.17999995</v>
      </c>
      <c r="T480" s="13">
        <v>16035349.98</v>
      </c>
      <c r="U480" s="10">
        <v>42875</v>
      </c>
      <c r="V480" s="10">
        <v>107680.72</v>
      </c>
      <c r="W480" s="25">
        <v>5590</v>
      </c>
      <c r="X480" s="34">
        <v>137312.42000000001</v>
      </c>
      <c r="Y480" s="13">
        <v>819741644.06999981</v>
      </c>
    </row>
    <row r="481" spans="1:25" x14ac:dyDescent="0.3">
      <c r="A481" s="15">
        <v>39417</v>
      </c>
      <c r="B481" s="16">
        <f t="shared" si="7"/>
        <v>17501</v>
      </c>
      <c r="C481" s="13">
        <v>51401976.219999999</v>
      </c>
      <c r="D481" s="13">
        <v>99345215.680000007</v>
      </c>
      <c r="E481" s="13">
        <v>3739554.18</v>
      </c>
      <c r="F481" s="13">
        <v>10436377.720000001</v>
      </c>
      <c r="G481" s="13">
        <v>48969090.609999999</v>
      </c>
      <c r="H481" s="13">
        <v>4315342.62</v>
      </c>
      <c r="I481" s="13">
        <v>22445778.75</v>
      </c>
      <c r="J481" s="13">
        <v>1364830.19</v>
      </c>
      <c r="K481" s="13">
        <v>14546470.42</v>
      </c>
      <c r="L481" s="13">
        <v>707885</v>
      </c>
      <c r="M481" s="13">
        <v>4241633.5</v>
      </c>
      <c r="N481" s="13">
        <v>1678165.02</v>
      </c>
      <c r="O481" s="34">
        <v>18290860.649999999</v>
      </c>
      <c r="P481" s="34">
        <v>-21606.35000000149</v>
      </c>
      <c r="Q481" s="34">
        <v>22011619.079999998</v>
      </c>
      <c r="R481" s="13">
        <v>4047650.69</v>
      </c>
      <c r="S481" s="13">
        <v>562440150.59000003</v>
      </c>
      <c r="T481" s="13">
        <v>15552202.66</v>
      </c>
      <c r="U481" s="10">
        <v>44466</v>
      </c>
      <c r="V481" s="10">
        <v>83072.75</v>
      </c>
      <c r="W481" s="25">
        <v>7099.85</v>
      </c>
      <c r="X481" s="34">
        <v>66445.490000000005</v>
      </c>
      <c r="Y481" s="13">
        <v>885714281.31999993</v>
      </c>
    </row>
    <row r="482" spans="1:25" x14ac:dyDescent="0.3">
      <c r="A482" s="15">
        <v>39448</v>
      </c>
      <c r="B482" s="16">
        <f t="shared" si="7"/>
        <v>17532</v>
      </c>
      <c r="C482" s="13">
        <v>66640804.57</v>
      </c>
      <c r="D482" s="13">
        <v>113978750.59</v>
      </c>
      <c r="E482" s="13">
        <v>4730453.9000000004</v>
      </c>
      <c r="F482" s="13">
        <v>5237149.55</v>
      </c>
      <c r="G482" s="13">
        <v>52294230.829999998</v>
      </c>
      <c r="H482" s="13">
        <v>6408930.3499999996</v>
      </c>
      <c r="I482" s="13">
        <v>23189371.199999999</v>
      </c>
      <c r="J482" s="13">
        <v>1235885.01</v>
      </c>
      <c r="K482" s="13">
        <v>17025461.920000002</v>
      </c>
      <c r="L482" s="13">
        <v>826060.14</v>
      </c>
      <c r="M482" s="13">
        <v>5062541.87</v>
      </c>
      <c r="N482" s="13">
        <v>1071660.08</v>
      </c>
      <c r="O482" s="34">
        <v>22404818.879999999</v>
      </c>
      <c r="P482" s="34">
        <v>-163151.71999999881</v>
      </c>
      <c r="Q482" s="34">
        <v>22011619.079999998</v>
      </c>
      <c r="R482" s="13">
        <v>5026239.42</v>
      </c>
      <c r="S482" s="13">
        <v>693110035.38</v>
      </c>
      <c r="T482" s="13">
        <v>12581455.879999999</v>
      </c>
      <c r="U482" s="10">
        <v>47763</v>
      </c>
      <c r="V482" s="10">
        <v>241415.3</v>
      </c>
      <c r="W482" s="25">
        <v>5020</v>
      </c>
      <c r="X482" s="34">
        <v>145039.91</v>
      </c>
      <c r="Y482" s="13">
        <v>1053111555.1399999</v>
      </c>
    </row>
    <row r="483" spans="1:25" x14ac:dyDescent="0.3">
      <c r="A483" s="15">
        <v>39479</v>
      </c>
      <c r="B483" s="16">
        <f t="shared" si="7"/>
        <v>17563</v>
      </c>
      <c r="C483" s="13">
        <v>15104837.16</v>
      </c>
      <c r="D483" s="13">
        <v>23121790.649999999</v>
      </c>
      <c r="E483" s="13">
        <v>2781789.53</v>
      </c>
      <c r="F483" s="13">
        <v>9873624.8900000006</v>
      </c>
      <c r="G483" s="13">
        <v>51596814.75</v>
      </c>
      <c r="H483" s="13">
        <v>5384250.5099999998</v>
      </c>
      <c r="I483" s="13">
        <v>23091340.98</v>
      </c>
      <c r="J483" s="13">
        <v>1445763.96</v>
      </c>
      <c r="K483" s="13">
        <v>24929704.489999998</v>
      </c>
      <c r="L483" s="13">
        <v>892167.2</v>
      </c>
      <c r="M483" s="13">
        <v>4165116.24</v>
      </c>
      <c r="N483" s="13">
        <v>954385.2</v>
      </c>
      <c r="O483" s="34">
        <v>16488506.76</v>
      </c>
      <c r="P483" s="34">
        <v>86684.199999999255</v>
      </c>
      <c r="Q483" s="34">
        <v>22011619.079999998</v>
      </c>
      <c r="R483" s="13">
        <v>2543474.25</v>
      </c>
      <c r="S483" s="13">
        <v>504790652.94</v>
      </c>
      <c r="T483" s="13">
        <v>18587838.23</v>
      </c>
      <c r="U483" s="10">
        <v>53070</v>
      </c>
      <c r="V483" s="10">
        <v>174291.66</v>
      </c>
      <c r="W483" s="25">
        <v>2398.2199999999998</v>
      </c>
      <c r="X483" s="34">
        <v>185063.36</v>
      </c>
      <c r="Y483" s="13">
        <v>728265184.25999999</v>
      </c>
    </row>
    <row r="484" spans="1:25" x14ac:dyDescent="0.3">
      <c r="A484" s="15">
        <v>39508</v>
      </c>
      <c r="B484" s="16">
        <f t="shared" si="7"/>
        <v>17592</v>
      </c>
      <c r="C484" s="13">
        <v>71027345.129999995</v>
      </c>
      <c r="D484" s="13">
        <v>90719509.980000004</v>
      </c>
      <c r="E484" s="13">
        <v>17318409.399999999</v>
      </c>
      <c r="F484" s="13">
        <v>11038161.880000001</v>
      </c>
      <c r="G484" s="13">
        <v>45824750.100000001</v>
      </c>
      <c r="H484" s="13">
        <v>4900547.3899999997</v>
      </c>
      <c r="I484" s="13">
        <v>24603525.620000001</v>
      </c>
      <c r="J484" s="13">
        <v>1522143.89</v>
      </c>
      <c r="K484" s="13">
        <v>26055076.689999998</v>
      </c>
      <c r="L484" s="13">
        <v>845224.41</v>
      </c>
      <c r="M484" s="13">
        <v>4485444.97</v>
      </c>
      <c r="N484" s="13">
        <v>3139367.14</v>
      </c>
      <c r="O484" s="34">
        <v>17494012.09</v>
      </c>
      <c r="P484" s="34">
        <v>-14431.769999999553</v>
      </c>
      <c r="Q484" s="34">
        <v>22011619.079999998</v>
      </c>
      <c r="R484" s="13">
        <v>3418129.17</v>
      </c>
      <c r="S484" s="13">
        <v>513080486.50999999</v>
      </c>
      <c r="T484" s="13">
        <v>8928709.9800000004</v>
      </c>
      <c r="U484" s="10">
        <v>34873</v>
      </c>
      <c r="V484" s="10">
        <v>146050.4</v>
      </c>
      <c r="W484" s="25">
        <v>5679.26</v>
      </c>
      <c r="X484" s="34">
        <v>145578.54</v>
      </c>
      <c r="Y484" s="13">
        <v>866730212.86000001</v>
      </c>
    </row>
    <row r="485" spans="1:25" x14ac:dyDescent="0.3">
      <c r="A485" s="15">
        <v>39539</v>
      </c>
      <c r="B485" s="16">
        <f t="shared" si="7"/>
        <v>17623</v>
      </c>
      <c r="C485" s="13">
        <v>144077989.75999999</v>
      </c>
      <c r="D485" s="13">
        <v>234443957.05000001</v>
      </c>
      <c r="E485" s="13">
        <v>240522763.91999999</v>
      </c>
      <c r="F485" s="13">
        <v>17638461.059999999</v>
      </c>
      <c r="G485" s="13">
        <v>49382129.18</v>
      </c>
      <c r="H485" s="13">
        <v>5298505.59</v>
      </c>
      <c r="I485" s="13">
        <v>23861709.859999999</v>
      </c>
      <c r="J485" s="13">
        <v>1540295.98</v>
      </c>
      <c r="K485" s="13">
        <v>26855923.030000001</v>
      </c>
      <c r="L485" s="13">
        <v>978566</v>
      </c>
      <c r="M485" s="13">
        <v>4575998.07</v>
      </c>
      <c r="N485" s="13">
        <v>1193821.81</v>
      </c>
      <c r="O485" s="34">
        <v>20996806.219999999</v>
      </c>
      <c r="P485" s="34">
        <v>63225.690000001341</v>
      </c>
      <c r="Q485" s="34">
        <v>22011619.079999998</v>
      </c>
      <c r="R485" s="13">
        <v>3567006.74</v>
      </c>
      <c r="S485" s="13">
        <v>576927099.09000003</v>
      </c>
      <c r="T485" s="13">
        <v>17750467.890000001</v>
      </c>
      <c r="U485" s="10">
        <v>37242</v>
      </c>
      <c r="V485" s="10">
        <v>116990.21</v>
      </c>
      <c r="W485" s="25">
        <v>50</v>
      </c>
      <c r="X485" s="34">
        <v>99089.58</v>
      </c>
      <c r="Y485" s="13">
        <v>1391939717.8100002</v>
      </c>
    </row>
    <row r="486" spans="1:25" x14ac:dyDescent="0.3">
      <c r="A486" s="15">
        <v>39569</v>
      </c>
      <c r="B486" s="16">
        <f t="shared" si="7"/>
        <v>17653</v>
      </c>
      <c r="C486" s="17">
        <v>21596815.629999999</v>
      </c>
      <c r="D486" s="17">
        <v>26134102.550000001</v>
      </c>
      <c r="E486" s="5">
        <v>9401352.4199999999</v>
      </c>
      <c r="F486" s="17">
        <v>6199909.5599999996</v>
      </c>
      <c r="G486" s="5">
        <v>50284948.619999997</v>
      </c>
      <c r="H486" s="17">
        <v>5295454.0999999996</v>
      </c>
      <c r="I486" s="17">
        <v>28778956.050000001</v>
      </c>
      <c r="J486" s="5">
        <v>1400928.22</v>
      </c>
      <c r="K486" s="5">
        <v>22121520.509999998</v>
      </c>
      <c r="L486" s="17">
        <v>863735.8</v>
      </c>
      <c r="M486" s="17">
        <v>4735396.32</v>
      </c>
      <c r="N486" s="17">
        <v>1358836.17</v>
      </c>
      <c r="O486" s="34">
        <v>46255000.049999997</v>
      </c>
      <c r="P486" s="34">
        <v>77932.790000002831</v>
      </c>
      <c r="Q486" s="34">
        <v>22011619.079999998</v>
      </c>
      <c r="R486" s="17">
        <v>3857765.08</v>
      </c>
      <c r="S486" s="5">
        <v>555081206.11000001</v>
      </c>
      <c r="T486" s="5">
        <v>19479593.449999999</v>
      </c>
      <c r="U486" s="3">
        <v>39537</v>
      </c>
      <c r="V486" s="10">
        <v>160953.01</v>
      </c>
      <c r="W486" s="25">
        <v>11760</v>
      </c>
      <c r="X486" s="34">
        <v>66212.67</v>
      </c>
      <c r="Y486" s="13">
        <v>825213535.19000006</v>
      </c>
    </row>
    <row r="487" spans="1:25" x14ac:dyDescent="0.3">
      <c r="A487" s="15">
        <v>39600</v>
      </c>
      <c r="B487" s="16">
        <f t="shared" si="7"/>
        <v>17684</v>
      </c>
      <c r="C487" s="13">
        <v>98514509.960000008</v>
      </c>
      <c r="D487" s="13">
        <v>178636489.65000001</v>
      </c>
      <c r="E487" s="13">
        <v>3240562.36</v>
      </c>
      <c r="F487" s="13">
        <v>8276670.7199999997</v>
      </c>
      <c r="G487" s="13">
        <v>55994077.719999999</v>
      </c>
      <c r="H487" s="13">
        <v>5717636.7000000002</v>
      </c>
      <c r="I487" s="13">
        <v>28269814.129999999</v>
      </c>
      <c r="J487" s="13">
        <v>1833051.65</v>
      </c>
      <c r="K487" s="13">
        <v>24667548.73</v>
      </c>
      <c r="L487" s="13">
        <v>1607771.8</v>
      </c>
      <c r="M487" s="13">
        <v>4837510.79</v>
      </c>
      <c r="N487" s="13">
        <v>117868949.04000001</v>
      </c>
      <c r="O487" s="34">
        <v>52741046.990000002</v>
      </c>
      <c r="P487" s="34">
        <v>145801.04000000283</v>
      </c>
      <c r="Q487" s="34">
        <v>22011619.079999998</v>
      </c>
      <c r="R487" s="13">
        <v>3806097.01</v>
      </c>
      <c r="S487" s="13">
        <v>572034775.39999998</v>
      </c>
      <c r="T487" s="13">
        <v>11573166.710000001</v>
      </c>
      <c r="U487" s="10">
        <v>42905</v>
      </c>
      <c r="V487" s="10">
        <v>307399.24</v>
      </c>
      <c r="W487" s="25">
        <v>88490</v>
      </c>
      <c r="X487" s="34">
        <v>159363.70000000001</v>
      </c>
      <c r="Y487" s="13">
        <v>1192375257.4200001</v>
      </c>
    </row>
    <row r="488" spans="1:25" x14ac:dyDescent="0.3">
      <c r="A488" s="15">
        <v>39630</v>
      </c>
      <c r="B488" s="16">
        <f t="shared" si="7"/>
        <v>17714</v>
      </c>
      <c r="C488" s="13">
        <v>21060004.469999999</v>
      </c>
      <c r="D488" s="13">
        <v>32093339.640000001</v>
      </c>
      <c r="E488" s="13">
        <v>2012085.86</v>
      </c>
      <c r="F488" s="13">
        <v>16029630.359999999</v>
      </c>
      <c r="G488" s="13">
        <v>50044195</v>
      </c>
      <c r="H488" s="13">
        <v>5285636.09</v>
      </c>
      <c r="I488" s="13">
        <v>25536597.109999999</v>
      </c>
      <c r="J488" s="13">
        <v>1700921.18</v>
      </c>
      <c r="K488" s="13">
        <v>20469645.039999999</v>
      </c>
      <c r="L488" s="13">
        <v>986184.52</v>
      </c>
      <c r="M488" s="13">
        <v>4695136.7699999996</v>
      </c>
      <c r="N488" s="13">
        <v>3393200.26</v>
      </c>
      <c r="O488" s="34">
        <v>22737584.600000001</v>
      </c>
      <c r="P488" s="34">
        <v>6002829.5799999982</v>
      </c>
      <c r="Q488" s="34">
        <v>22011619.079999998</v>
      </c>
      <c r="R488" s="13">
        <v>3777718.67</v>
      </c>
      <c r="S488" s="13">
        <v>600147496.07000005</v>
      </c>
      <c r="T488" s="13">
        <v>16148580.74</v>
      </c>
      <c r="U488" s="10">
        <v>34310.01</v>
      </c>
      <c r="V488" s="10">
        <v>233274.35</v>
      </c>
      <c r="W488" s="25">
        <v>85640</v>
      </c>
      <c r="X488" s="34">
        <v>163652.56</v>
      </c>
      <c r="Y488" s="13">
        <v>854649281.96000004</v>
      </c>
    </row>
    <row r="489" spans="1:25" x14ac:dyDescent="0.3">
      <c r="A489" s="15">
        <v>39661</v>
      </c>
      <c r="B489" s="16">
        <f t="shared" si="7"/>
        <v>17745</v>
      </c>
      <c r="C489" s="13">
        <v>9720061.8699999992</v>
      </c>
      <c r="D489" s="13">
        <v>5822379.9199999999</v>
      </c>
      <c r="E489" s="13">
        <v>1496844.61</v>
      </c>
      <c r="F489" s="13">
        <v>8308695.4400000004</v>
      </c>
      <c r="G489" s="13">
        <v>49549650.289999999</v>
      </c>
      <c r="H489" s="13">
        <v>5242546.68</v>
      </c>
      <c r="I489" s="13">
        <v>24817201.760000002</v>
      </c>
      <c r="J489" s="13">
        <v>1689989.18</v>
      </c>
      <c r="K489" s="13">
        <v>18960467.689999998</v>
      </c>
      <c r="L489" s="13">
        <v>922993.02</v>
      </c>
      <c r="M489" s="13">
        <v>4400259.4800000004</v>
      </c>
      <c r="N489" s="13">
        <v>1869179.83</v>
      </c>
      <c r="O489" s="34">
        <v>16655228.369999999</v>
      </c>
      <c r="P489" s="34">
        <v>18758490.5</v>
      </c>
      <c r="Q489" s="34">
        <v>22011619.079999998</v>
      </c>
      <c r="R489" s="13">
        <v>3391483.25</v>
      </c>
      <c r="S489" s="13">
        <v>564579666.28999996</v>
      </c>
      <c r="T489" s="13">
        <v>12517536.73</v>
      </c>
      <c r="U489" s="10">
        <v>47535.99</v>
      </c>
      <c r="V489" s="10">
        <v>246206.47</v>
      </c>
      <c r="W489" s="25">
        <v>33565.660000000003</v>
      </c>
      <c r="X489" s="34">
        <v>158132.48000000001</v>
      </c>
      <c r="Y489" s="13">
        <v>771199734.59000003</v>
      </c>
    </row>
    <row r="490" spans="1:25" x14ac:dyDescent="0.3">
      <c r="A490" s="15">
        <v>39692</v>
      </c>
      <c r="B490" s="16">
        <f t="shared" si="7"/>
        <v>17776</v>
      </c>
      <c r="C490" s="13">
        <v>92807200.859999999</v>
      </c>
      <c r="D490" s="13">
        <v>150721580.18000001</v>
      </c>
      <c r="E490" s="13">
        <v>1862735.35</v>
      </c>
      <c r="F490" s="13">
        <v>6820739.7000000002</v>
      </c>
      <c r="G490" s="13">
        <v>51141857.93</v>
      </c>
      <c r="H490" s="13">
        <v>5293848.8099999996</v>
      </c>
      <c r="I490" s="13">
        <v>27319827.300000001</v>
      </c>
      <c r="J490" s="13">
        <v>1603988.11</v>
      </c>
      <c r="K490" s="13">
        <v>19909112.620000001</v>
      </c>
      <c r="L490" s="13">
        <v>946363.14</v>
      </c>
      <c r="M490" s="13">
        <v>4597999.7</v>
      </c>
      <c r="N490" s="13">
        <v>3084053.34</v>
      </c>
      <c r="O490" s="34">
        <v>19431871.129999999</v>
      </c>
      <c r="P490" s="34">
        <v>30412.940000001341</v>
      </c>
      <c r="Q490" s="34">
        <v>20942938.489999998</v>
      </c>
      <c r="R490" s="13">
        <v>3779108.33</v>
      </c>
      <c r="S490" s="13">
        <v>553626709.85000002</v>
      </c>
      <c r="T490" s="13">
        <v>12344101.449999999</v>
      </c>
      <c r="U490" s="10">
        <v>36419</v>
      </c>
      <c r="V490" s="10">
        <v>293940.61</v>
      </c>
      <c r="W490" s="25">
        <v>13470</v>
      </c>
      <c r="X490" s="34">
        <v>131582.15</v>
      </c>
      <c r="Y490" s="13">
        <v>976739860.99000001</v>
      </c>
    </row>
    <row r="491" spans="1:25" x14ac:dyDescent="0.3">
      <c r="A491" s="15">
        <v>39722</v>
      </c>
      <c r="B491" s="16">
        <f t="shared" si="7"/>
        <v>17806</v>
      </c>
      <c r="C491" s="13">
        <v>26838430.059999999</v>
      </c>
      <c r="D491" s="13">
        <v>-44796092.759999998</v>
      </c>
      <c r="E491" s="13">
        <v>4631768.25</v>
      </c>
      <c r="F491" s="13">
        <v>8496194.5700000003</v>
      </c>
      <c r="G491" s="13">
        <v>43485445.210000001</v>
      </c>
      <c r="H491" s="13">
        <v>4638732.51</v>
      </c>
      <c r="I491" s="13">
        <v>25850919.600000001</v>
      </c>
      <c r="J491" s="13">
        <v>1641083.12</v>
      </c>
      <c r="K491" s="13">
        <v>18733771.350000001</v>
      </c>
      <c r="L491" s="13">
        <v>858612.41</v>
      </c>
      <c r="M491" s="13">
        <v>4771129.38</v>
      </c>
      <c r="N491" s="13">
        <v>1933630.66</v>
      </c>
      <c r="O491" s="34">
        <v>21269985.940000001</v>
      </c>
      <c r="P491" s="34">
        <v>69907.129999998957</v>
      </c>
      <c r="Q491" s="34">
        <v>24014435.43</v>
      </c>
      <c r="R491" s="13">
        <v>3248441.95</v>
      </c>
      <c r="S491" s="13">
        <v>547441355.05999994</v>
      </c>
      <c r="T491" s="13">
        <v>15672706.75</v>
      </c>
      <c r="U491" s="10">
        <v>40381.29</v>
      </c>
      <c r="V491" s="10">
        <v>149982.70000000001</v>
      </c>
      <c r="W491" s="25">
        <v>16265.52</v>
      </c>
      <c r="X491" s="34">
        <v>89193.63</v>
      </c>
      <c r="Y491" s="13">
        <v>709096279.75999987</v>
      </c>
    </row>
    <row r="492" spans="1:25" x14ac:dyDescent="0.3">
      <c r="A492" s="15">
        <v>39753</v>
      </c>
      <c r="B492" s="16">
        <f t="shared" si="7"/>
        <v>17837</v>
      </c>
      <c r="C492" s="13">
        <v>3718449.11</v>
      </c>
      <c r="D492" s="13">
        <v>16789736.920000002</v>
      </c>
      <c r="E492" s="13">
        <v>892462.94</v>
      </c>
      <c r="F492" s="13">
        <v>4856018.58</v>
      </c>
      <c r="G492" s="13">
        <v>56140309.090000004</v>
      </c>
      <c r="H492" s="13">
        <v>5757667.4900000002</v>
      </c>
      <c r="I492" s="13">
        <v>25145632.239999998</v>
      </c>
      <c r="J492" s="13">
        <v>1460817.85</v>
      </c>
      <c r="K492" s="13">
        <v>15582058.16</v>
      </c>
      <c r="L492" s="13">
        <v>661636.65</v>
      </c>
      <c r="M492" s="13">
        <v>4540921.57</v>
      </c>
      <c r="N492" s="13">
        <v>1804130.78</v>
      </c>
      <c r="O492" s="34">
        <v>14897917.720000001</v>
      </c>
      <c r="P492" s="34">
        <v>21977.309999998659</v>
      </c>
      <c r="Q492" s="34">
        <v>24014435.43</v>
      </c>
      <c r="R492" s="13">
        <v>3816448.54</v>
      </c>
      <c r="S492" s="13">
        <v>516640665.37</v>
      </c>
      <c r="T492" s="13">
        <v>14792831.850000001</v>
      </c>
      <c r="U492" s="10">
        <v>43633.93</v>
      </c>
      <c r="V492" s="10">
        <v>133365.68</v>
      </c>
      <c r="W492" s="25">
        <v>2200</v>
      </c>
      <c r="X492" s="34">
        <v>138930.44</v>
      </c>
      <c r="Y492" s="13">
        <v>711852247.64999998</v>
      </c>
    </row>
    <row r="493" spans="1:25" x14ac:dyDescent="0.3">
      <c r="A493" s="15">
        <v>39783</v>
      </c>
      <c r="B493" s="16">
        <f t="shared" si="7"/>
        <v>17867</v>
      </c>
      <c r="C493" s="13">
        <v>48473900.799999997</v>
      </c>
      <c r="D493" s="13">
        <v>94002316.829999998</v>
      </c>
      <c r="E493" s="13">
        <v>2595486.5099999998</v>
      </c>
      <c r="F493" s="13">
        <v>7144189.1600000001</v>
      </c>
      <c r="G493" s="13">
        <v>48914022.939999998</v>
      </c>
      <c r="H493" s="13">
        <v>5005144.3099999996</v>
      </c>
      <c r="I493" s="13">
        <v>26962338.510000002</v>
      </c>
      <c r="J493" s="13">
        <v>1234337.23</v>
      </c>
      <c r="K493" s="13">
        <v>14481000.960000001</v>
      </c>
      <c r="L493" s="13">
        <v>708467.32</v>
      </c>
      <c r="M493" s="13">
        <v>3971670.95</v>
      </c>
      <c r="N493" s="13">
        <v>1728937.3</v>
      </c>
      <c r="O493" s="34">
        <v>13069822.109999999</v>
      </c>
      <c r="P493" s="34">
        <v>-87766.460000000894</v>
      </c>
      <c r="Q493" s="34">
        <v>24014435.43</v>
      </c>
      <c r="R493" s="13">
        <v>3661753.83</v>
      </c>
      <c r="S493" s="13">
        <v>504646162.69999999</v>
      </c>
      <c r="T493" s="13">
        <v>10227154.09</v>
      </c>
      <c r="U493" s="10">
        <v>40492.78</v>
      </c>
      <c r="V493" s="10">
        <v>164621.23000000001</v>
      </c>
      <c r="W493" s="25">
        <v>2760</v>
      </c>
      <c r="X493" s="34">
        <v>75328.33</v>
      </c>
      <c r="Y493" s="13">
        <v>811036576.8599999</v>
      </c>
    </row>
    <row r="494" spans="1:25" x14ac:dyDescent="0.3">
      <c r="A494" s="15">
        <v>39814</v>
      </c>
      <c r="B494" s="16">
        <f t="shared" si="7"/>
        <v>17898</v>
      </c>
      <c r="C494" s="13">
        <v>26005447.760000002</v>
      </c>
      <c r="D494" s="13">
        <v>97658174.640000001</v>
      </c>
      <c r="E494" s="13">
        <v>3551388.94</v>
      </c>
      <c r="F494" s="13">
        <v>4503480.07</v>
      </c>
      <c r="G494" s="13">
        <v>44451133.68</v>
      </c>
      <c r="H494" s="13">
        <v>4595136.01</v>
      </c>
      <c r="I494" s="13">
        <v>21505935.41</v>
      </c>
      <c r="J494" s="13">
        <v>1260261.79</v>
      </c>
      <c r="K494" s="13">
        <v>18135712.57</v>
      </c>
      <c r="L494" s="13">
        <v>750398.44</v>
      </c>
      <c r="M494" s="13">
        <v>4793209.67</v>
      </c>
      <c r="N494" s="13">
        <v>1738261.91</v>
      </c>
      <c r="O494" s="34">
        <v>17853259.84</v>
      </c>
      <c r="P494" s="34">
        <v>92743.920000001788</v>
      </c>
      <c r="Q494" s="34">
        <v>24014435.43</v>
      </c>
      <c r="R494" s="13">
        <v>5445271.96</v>
      </c>
      <c r="S494" s="13">
        <v>645466943.01999998</v>
      </c>
      <c r="T494" s="13">
        <v>14278627.869999999</v>
      </c>
      <c r="U494" s="10">
        <v>27563.61</v>
      </c>
      <c r="V494" s="10">
        <v>102363.89</v>
      </c>
      <c r="W494" s="25">
        <v>7303.37</v>
      </c>
      <c r="X494" s="34">
        <v>126134.57</v>
      </c>
      <c r="Y494" s="13">
        <v>936363188.37</v>
      </c>
    </row>
    <row r="495" spans="1:25" x14ac:dyDescent="0.3">
      <c r="A495" s="15">
        <v>39845</v>
      </c>
      <c r="B495" s="16">
        <f t="shared" si="7"/>
        <v>17929</v>
      </c>
      <c r="C495" s="13">
        <v>14476056.689999999</v>
      </c>
      <c r="D495" s="13">
        <v>18929128.239999998</v>
      </c>
      <c r="E495" s="13">
        <v>2093523.17</v>
      </c>
      <c r="F495" s="13">
        <v>4134155.85</v>
      </c>
      <c r="G495" s="13">
        <v>53270987.049999997</v>
      </c>
      <c r="H495" s="13">
        <v>5408515.7800000003</v>
      </c>
      <c r="I495" s="13">
        <v>24753355.27</v>
      </c>
      <c r="J495" s="13">
        <v>1484514.79</v>
      </c>
      <c r="K495" s="13">
        <v>21672426.629999999</v>
      </c>
      <c r="L495" s="13">
        <v>801664.68</v>
      </c>
      <c r="M495" s="13">
        <v>4239045.24</v>
      </c>
      <c r="N495" s="13">
        <v>592249.39</v>
      </c>
      <c r="O495" s="34">
        <v>12035387.65</v>
      </c>
      <c r="P495" s="34">
        <v>28740.5</v>
      </c>
      <c r="Q495" s="34">
        <v>24014435.43</v>
      </c>
      <c r="R495" s="13">
        <v>2614290.0699999998</v>
      </c>
      <c r="S495" s="13">
        <v>465028721.68000001</v>
      </c>
      <c r="T495" s="13">
        <v>12545601.83</v>
      </c>
      <c r="U495" s="10">
        <v>38969.15</v>
      </c>
      <c r="V495" s="10">
        <v>128035.53</v>
      </c>
      <c r="W495" s="25">
        <v>17780</v>
      </c>
      <c r="X495" s="34">
        <v>44867.11</v>
      </c>
      <c r="Y495" s="13">
        <v>668352451.73000002</v>
      </c>
    </row>
    <row r="496" spans="1:25" x14ac:dyDescent="0.3">
      <c r="A496" s="18">
        <v>39873</v>
      </c>
      <c r="B496" s="19">
        <f t="shared" si="7"/>
        <v>17957</v>
      </c>
      <c r="C496" s="20">
        <v>45665379.789999999</v>
      </c>
      <c r="D496" s="20">
        <v>86029617.549999997</v>
      </c>
      <c r="E496" s="20">
        <v>15288887.220000001</v>
      </c>
      <c r="F496" s="20">
        <v>8532783.5399999991</v>
      </c>
      <c r="G496" s="20">
        <v>43771252.619999997</v>
      </c>
      <c r="H496" s="20">
        <v>4457355.7699999996</v>
      </c>
      <c r="I496" s="20">
        <v>23701584.09</v>
      </c>
      <c r="J496" s="20">
        <v>1459644.06</v>
      </c>
      <c r="K496" s="20">
        <v>26087123.059999999</v>
      </c>
      <c r="L496" s="20">
        <v>1058213.1000000001</v>
      </c>
      <c r="M496" s="20">
        <v>4320647.32</v>
      </c>
      <c r="N496" s="20">
        <v>3238538.05</v>
      </c>
      <c r="O496" s="34">
        <v>13034783.02</v>
      </c>
      <c r="P496" s="34">
        <v>-44615.230000000447</v>
      </c>
      <c r="Q496" s="34">
        <v>24014435.43</v>
      </c>
      <c r="R496" s="20">
        <v>3405190.93</v>
      </c>
      <c r="S496" s="20">
        <v>467202958.26999998</v>
      </c>
      <c r="T496" s="20">
        <v>7955730.1599999992</v>
      </c>
      <c r="U496" s="21">
        <v>32155</v>
      </c>
      <c r="V496" s="21">
        <v>73804.66</v>
      </c>
      <c r="W496" s="26">
        <v>24719</v>
      </c>
      <c r="X496" s="34">
        <v>175667.41</v>
      </c>
      <c r="Y496" s="20">
        <v>779485854.81999981</v>
      </c>
    </row>
    <row r="497" spans="1:25" x14ac:dyDescent="0.3">
      <c r="A497" s="18">
        <v>39904</v>
      </c>
      <c r="B497" s="19">
        <f t="shared" si="7"/>
        <v>17988</v>
      </c>
      <c r="C497" s="20">
        <v>121987671.44</v>
      </c>
      <c r="D497" s="20">
        <v>209238849.49000001</v>
      </c>
      <c r="E497" s="20">
        <v>180446564.86000001</v>
      </c>
      <c r="F497" s="20">
        <v>13436574.15</v>
      </c>
      <c r="G497" s="20">
        <v>51929432.380000003</v>
      </c>
      <c r="H497" s="20">
        <v>5229843.97</v>
      </c>
      <c r="I497" s="20">
        <v>18602799.52</v>
      </c>
      <c r="J497" s="20">
        <v>1361636.11</v>
      </c>
      <c r="K497" s="20">
        <v>25541084.100000001</v>
      </c>
      <c r="L497" s="20">
        <v>782253.45</v>
      </c>
      <c r="M497" s="20">
        <v>4447582.78</v>
      </c>
      <c r="N497" s="20">
        <v>1957623.81</v>
      </c>
      <c r="O497" s="34">
        <v>17469981.859999999</v>
      </c>
      <c r="P497" s="34">
        <v>91550.390000000596</v>
      </c>
      <c r="Q497" s="34">
        <v>24014435.43</v>
      </c>
      <c r="R497" s="20">
        <v>3807151.67</v>
      </c>
      <c r="S497" s="20">
        <v>519558152.23000002</v>
      </c>
      <c r="T497" s="20">
        <v>15828967.120000001</v>
      </c>
      <c r="U497" s="21">
        <v>48214.57</v>
      </c>
      <c r="V497" s="21">
        <v>70236.72</v>
      </c>
      <c r="W497" s="26">
        <v>0</v>
      </c>
      <c r="X497" s="34">
        <v>28099.4</v>
      </c>
      <c r="Y497" s="20">
        <v>1215878705.4499998</v>
      </c>
    </row>
    <row r="498" spans="1:25" x14ac:dyDescent="0.3">
      <c r="A498" s="18">
        <v>39934</v>
      </c>
      <c r="B498" s="19">
        <f t="shared" si="7"/>
        <v>18018</v>
      </c>
      <c r="C498" s="20">
        <v>15547542.68</v>
      </c>
      <c r="D498" s="20">
        <v>10587076.58</v>
      </c>
      <c r="E498" s="20">
        <v>4747228.37</v>
      </c>
      <c r="F498" s="20">
        <v>4085395.49</v>
      </c>
      <c r="G498" s="20">
        <v>48613008.649999999</v>
      </c>
      <c r="H498" s="20">
        <v>4966277.8099999996</v>
      </c>
      <c r="I498" s="20">
        <v>25102444.059999999</v>
      </c>
      <c r="J498" s="20">
        <v>1851055.57</v>
      </c>
      <c r="K498" s="20">
        <v>21224857.84</v>
      </c>
      <c r="L498" s="20">
        <v>701526.84</v>
      </c>
      <c r="M498" s="20">
        <v>4316262</v>
      </c>
      <c r="N498" s="20">
        <v>2797253.64</v>
      </c>
      <c r="O498" s="34">
        <v>38225094.299999997</v>
      </c>
      <c r="P498" s="34">
        <v>176548.89999999851</v>
      </c>
      <c r="Q498" s="34">
        <v>24014435.43</v>
      </c>
      <c r="R498" s="20">
        <v>3459013.18</v>
      </c>
      <c r="S498" s="20">
        <v>494011690.5</v>
      </c>
      <c r="T498" s="20">
        <v>11832349.58</v>
      </c>
      <c r="U498" s="21">
        <v>28544.11</v>
      </c>
      <c r="V498" s="21">
        <v>218566.46</v>
      </c>
      <c r="W498" s="26">
        <v>990</v>
      </c>
      <c r="X498" s="34">
        <v>31569.09</v>
      </c>
      <c r="Y498" s="20">
        <v>716538731.08000016</v>
      </c>
    </row>
    <row r="499" spans="1:25" x14ac:dyDescent="0.3">
      <c r="A499" s="18">
        <v>39965</v>
      </c>
      <c r="B499" s="19">
        <f t="shared" si="7"/>
        <v>18049</v>
      </c>
      <c r="C499" s="20">
        <v>98384547.329999998</v>
      </c>
      <c r="D499" s="20">
        <v>139184954.43000001</v>
      </c>
      <c r="E499" s="20">
        <v>2065493.36</v>
      </c>
      <c r="F499" s="20">
        <v>5142011.42</v>
      </c>
      <c r="G499" s="20">
        <v>57742162.350000001</v>
      </c>
      <c r="H499" s="20">
        <v>5636880.3200000003</v>
      </c>
      <c r="I499" s="20">
        <v>31920133.100000001</v>
      </c>
      <c r="J499" s="20">
        <v>1695721.73</v>
      </c>
      <c r="K499" s="20">
        <v>20470094.050000001</v>
      </c>
      <c r="L499" s="20">
        <v>889638.42</v>
      </c>
      <c r="M499" s="20">
        <v>4946827.7</v>
      </c>
      <c r="N499" s="20">
        <v>111977478.18000001</v>
      </c>
      <c r="O499" s="34">
        <v>49992337.259999998</v>
      </c>
      <c r="P499" s="34">
        <v>238523.69999999925</v>
      </c>
      <c r="Q499" s="34">
        <v>24014435.43</v>
      </c>
      <c r="R499" s="20">
        <v>4322729.47</v>
      </c>
      <c r="S499" s="20">
        <v>518219187.67000002</v>
      </c>
      <c r="T499" s="20">
        <v>10895399.739999998</v>
      </c>
      <c r="U499" s="21">
        <v>42539</v>
      </c>
      <c r="V499" s="21">
        <v>137556.79</v>
      </c>
      <c r="W499" s="26">
        <v>127628.13</v>
      </c>
      <c r="X499" s="34">
        <v>71419.679999999993</v>
      </c>
      <c r="Y499" s="20">
        <v>1088117699.2600002</v>
      </c>
    </row>
    <row r="500" spans="1:25" x14ac:dyDescent="0.3">
      <c r="A500" s="18">
        <v>39995</v>
      </c>
      <c r="B500" s="19">
        <f t="shared" si="7"/>
        <v>18079</v>
      </c>
      <c r="C500" s="20">
        <v>22299154.649999999</v>
      </c>
      <c r="D500" s="20">
        <v>58625382.369999997</v>
      </c>
      <c r="E500" s="20">
        <v>1527780.48</v>
      </c>
      <c r="F500" s="20">
        <v>7301252.4100000001</v>
      </c>
      <c r="G500" s="20">
        <v>52260991.039999999</v>
      </c>
      <c r="H500" s="20">
        <v>5323961.63</v>
      </c>
      <c r="I500" s="20">
        <v>23532442.870000001</v>
      </c>
      <c r="J500" s="20">
        <v>1483581.07</v>
      </c>
      <c r="K500" s="20">
        <v>20484957.030000001</v>
      </c>
      <c r="L500" s="20">
        <v>948253.08</v>
      </c>
      <c r="M500" s="20">
        <v>4629192.9800000004</v>
      </c>
      <c r="N500" s="20">
        <v>3103903.7</v>
      </c>
      <c r="O500" s="34">
        <v>21673675.280000001</v>
      </c>
      <c r="P500" s="34">
        <v>12662978.670000002</v>
      </c>
      <c r="Q500" s="34">
        <v>24014435.43</v>
      </c>
      <c r="R500" s="20">
        <v>4076320.69</v>
      </c>
      <c r="S500" s="20">
        <v>534866966.95999998</v>
      </c>
      <c r="T500" s="20">
        <v>15929388.390000001</v>
      </c>
      <c r="U500" s="21">
        <v>48266.28</v>
      </c>
      <c r="V500" s="21">
        <v>94159.76</v>
      </c>
      <c r="W500" s="26">
        <v>106676</v>
      </c>
      <c r="X500" s="34">
        <v>15416.29</v>
      </c>
      <c r="Y500" s="20">
        <v>815009137.05999982</v>
      </c>
    </row>
    <row r="501" spans="1:25" x14ac:dyDescent="0.3">
      <c r="A501" s="15">
        <v>40026</v>
      </c>
      <c r="B501" s="16">
        <f t="shared" si="7"/>
        <v>18110</v>
      </c>
      <c r="C501" s="13">
        <v>16102343.609999999</v>
      </c>
      <c r="D501" s="13">
        <v>4777321.26</v>
      </c>
      <c r="E501" s="13">
        <v>731472.46</v>
      </c>
      <c r="F501" s="13">
        <v>5629006.1200000001</v>
      </c>
      <c r="G501" s="13">
        <v>56795737.18</v>
      </c>
      <c r="H501" s="13">
        <v>5642771.04</v>
      </c>
      <c r="I501" s="13">
        <v>24811419.199999999</v>
      </c>
      <c r="J501" s="13">
        <v>1795490.16</v>
      </c>
      <c r="K501" s="13">
        <v>18575976.759999998</v>
      </c>
      <c r="L501" s="13">
        <v>878643.9</v>
      </c>
      <c r="M501" s="13">
        <v>4524403.22</v>
      </c>
      <c r="N501" s="13">
        <v>1278734.8</v>
      </c>
      <c r="O501" s="34">
        <v>16197328.4</v>
      </c>
      <c r="P501" s="34">
        <v>12701124.520000003</v>
      </c>
      <c r="Q501" s="34">
        <v>24014435.43</v>
      </c>
      <c r="R501" s="13">
        <v>3477130.25</v>
      </c>
      <c r="S501" s="13">
        <v>518249303.43000001</v>
      </c>
      <c r="T501" s="13">
        <v>11018426.889999999</v>
      </c>
      <c r="U501" s="10">
        <v>87766.8</v>
      </c>
      <c r="V501" s="10">
        <v>145369.75</v>
      </c>
      <c r="W501" s="25">
        <v>17950</v>
      </c>
      <c r="X501" s="34">
        <v>-530651.82999999996</v>
      </c>
      <c r="Y501" s="13">
        <v>726921503.3499999</v>
      </c>
    </row>
    <row r="502" spans="1:25" x14ac:dyDescent="0.3">
      <c r="A502" s="15">
        <v>40057</v>
      </c>
      <c r="B502" s="16">
        <f t="shared" si="7"/>
        <v>18141</v>
      </c>
      <c r="C502" s="13">
        <v>103465479.54000001</v>
      </c>
      <c r="D502" s="13">
        <v>140743775.41999999</v>
      </c>
      <c r="E502" s="13">
        <v>1526444.21</v>
      </c>
      <c r="F502" s="13">
        <v>4655213.66</v>
      </c>
      <c r="G502" s="13">
        <v>49561981.789999999</v>
      </c>
      <c r="H502" s="13">
        <v>5106757.4800000004</v>
      </c>
      <c r="I502" s="13">
        <v>28527929.84</v>
      </c>
      <c r="J502" s="13">
        <v>1200538.1499999999</v>
      </c>
      <c r="K502" s="13">
        <v>20093275.870000001</v>
      </c>
      <c r="L502" s="13">
        <v>920740.48</v>
      </c>
      <c r="M502" s="13">
        <v>4232071.53</v>
      </c>
      <c r="N502" s="13">
        <v>3053151.66</v>
      </c>
      <c r="O502" s="34">
        <v>13499948.92</v>
      </c>
      <c r="P502" s="34">
        <v>375635.14999999851</v>
      </c>
      <c r="Q502" s="34">
        <v>28913313.84</v>
      </c>
      <c r="R502" s="13">
        <v>3528573.07</v>
      </c>
      <c r="S502" s="13">
        <v>501531808.29000002</v>
      </c>
      <c r="T502" s="13">
        <v>10216524.809999999</v>
      </c>
      <c r="U502" s="10">
        <v>70556.91</v>
      </c>
      <c r="V502" s="10">
        <v>134677.32999999999</v>
      </c>
      <c r="W502" s="25">
        <v>15450</v>
      </c>
      <c r="X502" s="34">
        <v>-485838.84</v>
      </c>
      <c r="Y502" s="13">
        <v>920888009.1099999</v>
      </c>
    </row>
    <row r="503" spans="1:25" x14ac:dyDescent="0.3">
      <c r="A503" s="15">
        <v>40087</v>
      </c>
      <c r="B503" s="16">
        <f t="shared" si="7"/>
        <v>18171</v>
      </c>
      <c r="C503" s="13">
        <v>13254170.479999989</v>
      </c>
      <c r="D503" s="13">
        <v>-1313940.9700000286</v>
      </c>
      <c r="E503" s="13">
        <v>2577812.94</v>
      </c>
      <c r="F503" s="13">
        <v>4993927.34</v>
      </c>
      <c r="G503" s="13">
        <v>53542599.200000003</v>
      </c>
      <c r="H503" s="13">
        <v>5388596.9699999997</v>
      </c>
      <c r="I503" s="13">
        <v>25147597.280000001</v>
      </c>
      <c r="J503" s="13">
        <v>1586009.32</v>
      </c>
      <c r="K503" s="13">
        <v>17737309.200000003</v>
      </c>
      <c r="L503" s="13">
        <v>858263.06</v>
      </c>
      <c r="M503" s="13">
        <v>4226652.9000000004</v>
      </c>
      <c r="N503" s="13">
        <v>2142855.16</v>
      </c>
      <c r="O503" s="34">
        <v>18519197.379999999</v>
      </c>
      <c r="P503" s="34">
        <v>201222.69000000134</v>
      </c>
      <c r="Q503" s="34">
        <v>26498171.600000001</v>
      </c>
      <c r="R503" s="13">
        <v>3113644.57</v>
      </c>
      <c r="S503" s="13">
        <v>504732211.99000001</v>
      </c>
      <c r="T503" s="13">
        <v>14980507.41</v>
      </c>
      <c r="U503" s="10">
        <v>105043.72</v>
      </c>
      <c r="V503" s="10">
        <v>97519.52</v>
      </c>
      <c r="W503" s="25">
        <v>2730</v>
      </c>
      <c r="X503" s="34">
        <v>-143237.66</v>
      </c>
      <c r="Y503" s="13">
        <v>698248864.0999999</v>
      </c>
    </row>
    <row r="504" spans="1:25" x14ac:dyDescent="0.3">
      <c r="A504" s="15">
        <v>40118</v>
      </c>
      <c r="B504" s="16">
        <f t="shared" si="7"/>
        <v>18202</v>
      </c>
      <c r="C504" s="13">
        <v>22692375.57</v>
      </c>
      <c r="D504" s="13">
        <v>19642874.84</v>
      </c>
      <c r="E504" s="13">
        <v>301367.23</v>
      </c>
      <c r="F504" s="13">
        <v>5276163.55</v>
      </c>
      <c r="G504" s="13">
        <v>48663449.560000002</v>
      </c>
      <c r="H504" s="13">
        <v>5141748.9400000004</v>
      </c>
      <c r="I504" s="13">
        <v>27765373.25</v>
      </c>
      <c r="J504" s="13">
        <v>1239277.74</v>
      </c>
      <c r="K504" s="13">
        <v>16182073.17</v>
      </c>
      <c r="L504" s="13">
        <v>752273.22</v>
      </c>
      <c r="M504" s="13">
        <v>5017759.6500000004</v>
      </c>
      <c r="N504" s="13">
        <v>1398702.88</v>
      </c>
      <c r="O504" s="34">
        <v>15845418.41</v>
      </c>
      <c r="P504" s="34">
        <v>290724.91000000015</v>
      </c>
      <c r="Q504" s="34">
        <v>26498171.600000001</v>
      </c>
      <c r="R504" s="13">
        <v>4301675.05</v>
      </c>
      <c r="S504" s="13">
        <v>493645263.22000003</v>
      </c>
      <c r="T504" s="13">
        <v>13403716.390000001</v>
      </c>
      <c r="U504" s="10">
        <v>83015.5</v>
      </c>
      <c r="V504" s="10">
        <v>83823.539999999994</v>
      </c>
      <c r="W504" s="25">
        <v>3200</v>
      </c>
      <c r="X504" s="34">
        <v>-55394.71</v>
      </c>
      <c r="Y504" s="13">
        <v>708173053.50999999</v>
      </c>
    </row>
    <row r="505" spans="1:25" x14ac:dyDescent="0.3">
      <c r="A505" s="15">
        <v>40148</v>
      </c>
      <c r="B505" s="16">
        <f t="shared" si="7"/>
        <v>18232</v>
      </c>
      <c r="C505" s="13">
        <v>52059760.020000003</v>
      </c>
      <c r="D505" s="13">
        <v>62219797.799999997</v>
      </c>
      <c r="E505" s="13">
        <v>2370749.9500000002</v>
      </c>
      <c r="F505" s="13">
        <v>9913358.9100000001</v>
      </c>
      <c r="G505" s="13">
        <v>47862494.030000001</v>
      </c>
      <c r="H505" s="13">
        <v>4903982.3899999997</v>
      </c>
      <c r="I505" s="13">
        <v>20068506.890000001</v>
      </c>
      <c r="J505" s="13">
        <v>1240070.3999999999</v>
      </c>
      <c r="K505" s="13">
        <v>15568155.550000001</v>
      </c>
      <c r="L505" s="13">
        <v>776505.97</v>
      </c>
      <c r="M505" s="13">
        <v>4281635.1399999997</v>
      </c>
      <c r="N505" s="13">
        <v>1310751.19</v>
      </c>
      <c r="O505" s="34">
        <v>13704352.43</v>
      </c>
      <c r="P505" s="34">
        <v>-23553.550000000745</v>
      </c>
      <c r="Q505" s="34">
        <v>26498171.600000001</v>
      </c>
      <c r="R505" s="13">
        <v>4047214.65</v>
      </c>
      <c r="S505" s="13">
        <v>490099782.13</v>
      </c>
      <c r="T505" s="13">
        <v>9651492.8900000006</v>
      </c>
      <c r="U505" s="10">
        <v>77419.63</v>
      </c>
      <c r="V505" s="10">
        <v>100762.77</v>
      </c>
      <c r="W505" s="25">
        <v>5090</v>
      </c>
      <c r="X505" s="34">
        <v>-57342.95</v>
      </c>
      <c r="Y505" s="13">
        <v>766679157.83999991</v>
      </c>
    </row>
    <row r="506" spans="1:25" s="27" customFormat="1" x14ac:dyDescent="0.3">
      <c r="A506" s="18">
        <v>40179</v>
      </c>
      <c r="B506" s="19">
        <f t="shared" si="7"/>
        <v>18263</v>
      </c>
      <c r="C506" s="20">
        <v>52303549.539999999</v>
      </c>
      <c r="D506" s="20">
        <v>87469329</v>
      </c>
      <c r="E506" s="20">
        <v>3003388.05</v>
      </c>
      <c r="F506" s="20">
        <v>6562916.8600000003</v>
      </c>
      <c r="G506" s="20">
        <v>47139181</v>
      </c>
      <c r="H506" s="20">
        <v>4913780.6399999997</v>
      </c>
      <c r="I506" s="20">
        <v>22350732.640000001</v>
      </c>
      <c r="J506" s="20">
        <v>1450955.11</v>
      </c>
      <c r="K506" s="20">
        <v>16905433.580000002</v>
      </c>
      <c r="L506" s="20">
        <v>684962.13</v>
      </c>
      <c r="M506" s="20">
        <v>4858421.0199999996</v>
      </c>
      <c r="N506" s="20">
        <v>1418234.97</v>
      </c>
      <c r="O506" s="34">
        <v>17760413.879999999</v>
      </c>
      <c r="P506" s="34">
        <v>313431.03000000119</v>
      </c>
      <c r="Q506" s="34">
        <v>26498171.600000001</v>
      </c>
      <c r="R506" s="20">
        <v>5641980.5899999999</v>
      </c>
      <c r="S506" s="20">
        <v>633434923.14999998</v>
      </c>
      <c r="T506" s="20">
        <v>14925386.42</v>
      </c>
      <c r="U506" s="21">
        <v>67038.25</v>
      </c>
      <c r="V506" s="21">
        <v>77092.84</v>
      </c>
      <c r="W506" s="26">
        <v>20156.03</v>
      </c>
      <c r="X506" s="34">
        <v>-412060.15999999997</v>
      </c>
      <c r="Y506" s="20">
        <v>947387418.56000006</v>
      </c>
    </row>
    <row r="507" spans="1:25" s="27" customFormat="1" x14ac:dyDescent="0.3">
      <c r="A507" s="18">
        <v>40210</v>
      </c>
      <c r="B507" s="19">
        <f t="shared" si="7"/>
        <v>18294</v>
      </c>
      <c r="C507" s="20">
        <v>15404769</v>
      </c>
      <c r="D507" s="20">
        <v>19043792.390000001</v>
      </c>
      <c r="E507" s="20">
        <v>1840350.45</v>
      </c>
      <c r="F507" s="20">
        <v>5764181.3600000003</v>
      </c>
      <c r="G507" s="20">
        <v>50910483.310000002</v>
      </c>
      <c r="H507" s="20">
        <v>4974551.49</v>
      </c>
      <c r="I507" s="20">
        <v>19130748.809999999</v>
      </c>
      <c r="J507" s="20">
        <v>1274355.6499999999</v>
      </c>
      <c r="K507" s="20">
        <v>19740825.109999996</v>
      </c>
      <c r="L507" s="20">
        <v>807531.64</v>
      </c>
      <c r="M507" s="20">
        <v>4818096.5</v>
      </c>
      <c r="N507" s="20">
        <v>8389703.6099999994</v>
      </c>
      <c r="O507" s="34">
        <v>11024162.609999999</v>
      </c>
      <c r="P507" s="34">
        <v>42748.210000000894</v>
      </c>
      <c r="Q507" s="34">
        <v>26498171.600000001</v>
      </c>
      <c r="R507" s="20">
        <v>2473953.73</v>
      </c>
      <c r="S507" s="20">
        <v>434032091.56999999</v>
      </c>
      <c r="T507" s="20">
        <v>12593086.49</v>
      </c>
      <c r="U507" s="21">
        <v>64596.75</v>
      </c>
      <c r="V507" s="21">
        <v>148633.67000000001</v>
      </c>
      <c r="W507" s="26">
        <v>2390</v>
      </c>
      <c r="X507" s="34">
        <v>-34115.589999999997</v>
      </c>
      <c r="Y507" s="20">
        <v>638945107.9799999</v>
      </c>
    </row>
    <row r="508" spans="1:25" s="27" customFormat="1" x14ac:dyDescent="0.3">
      <c r="A508" s="18">
        <v>40238</v>
      </c>
      <c r="B508" s="19">
        <f t="shared" si="7"/>
        <v>18322</v>
      </c>
      <c r="C508" s="20">
        <v>56935839.689999998</v>
      </c>
      <c r="D508" s="20">
        <v>74048752.930000007</v>
      </c>
      <c r="E508" s="20">
        <v>13168207.869999999</v>
      </c>
      <c r="F508" s="20">
        <v>8394211.3499999996</v>
      </c>
      <c r="G508" s="20">
        <v>41137917.060000002</v>
      </c>
      <c r="H508" s="20">
        <v>4421854.33</v>
      </c>
      <c r="I508" s="20">
        <v>25735945.440000001</v>
      </c>
      <c r="J508" s="20">
        <v>1234776.8</v>
      </c>
      <c r="K508" s="20">
        <v>24732301.980000004</v>
      </c>
      <c r="L508" s="20">
        <v>1042715.34</v>
      </c>
      <c r="M508" s="20">
        <v>4574375.0599999996</v>
      </c>
      <c r="N508" s="20">
        <v>7615034.5499999998</v>
      </c>
      <c r="O508" s="34">
        <v>10600717.720000001</v>
      </c>
      <c r="P508" s="34">
        <v>-112707.83999999985</v>
      </c>
      <c r="Q508" s="34">
        <v>26498171.600000001</v>
      </c>
      <c r="R508" s="20">
        <v>3508322.43</v>
      </c>
      <c r="S508" s="20">
        <v>463153634.63</v>
      </c>
      <c r="T508" s="20">
        <v>9671090.0300000012</v>
      </c>
      <c r="U508" s="21">
        <v>80949.960000000006</v>
      </c>
      <c r="V508" s="21">
        <v>121824.51</v>
      </c>
      <c r="W508" s="26">
        <v>3530</v>
      </c>
      <c r="X508" s="34">
        <v>-53127.32</v>
      </c>
      <c r="Y508" s="20">
        <v>776514338.12</v>
      </c>
    </row>
    <row r="509" spans="1:25" s="27" customFormat="1" x14ac:dyDescent="0.3">
      <c r="A509" s="18">
        <v>40269</v>
      </c>
      <c r="B509" s="19">
        <f t="shared" si="7"/>
        <v>18353</v>
      </c>
      <c r="C509" s="20">
        <v>126804676.72</v>
      </c>
      <c r="D509" s="20">
        <v>233740799.87</v>
      </c>
      <c r="E509" s="20">
        <v>139616790.81</v>
      </c>
      <c r="F509" s="20">
        <v>13729078.449999999</v>
      </c>
      <c r="G509" s="20">
        <v>48887181.310000002</v>
      </c>
      <c r="H509" s="20">
        <v>5269225.3099999996</v>
      </c>
      <c r="I509" s="20">
        <v>21805372.18</v>
      </c>
      <c r="J509" s="20">
        <v>1283064.49</v>
      </c>
      <c r="K509" s="20">
        <v>30444104.919999998</v>
      </c>
      <c r="L509" s="20">
        <v>979712.12</v>
      </c>
      <c r="M509" s="20">
        <v>4734916.96</v>
      </c>
      <c r="N509" s="20">
        <v>2113775.39</v>
      </c>
      <c r="O509" s="34">
        <v>17301500.25</v>
      </c>
      <c r="P509" s="34">
        <v>94848.359999999404</v>
      </c>
      <c r="Q509" s="34">
        <v>26498171.600000001</v>
      </c>
      <c r="R509" s="20">
        <v>4082269.62</v>
      </c>
      <c r="S509" s="20">
        <v>548753693.15999997</v>
      </c>
      <c r="T509" s="20">
        <v>16784355.07</v>
      </c>
      <c r="U509" s="21">
        <v>63449</v>
      </c>
      <c r="V509" s="21">
        <v>83625.179999999993</v>
      </c>
      <c r="W509" s="26">
        <v>0</v>
      </c>
      <c r="X509" s="34">
        <v>-35877.699999999997</v>
      </c>
      <c r="Y509" s="20">
        <v>1243034733.0699999</v>
      </c>
    </row>
    <row r="510" spans="1:25" s="27" customFormat="1" x14ac:dyDescent="0.3">
      <c r="A510" s="18">
        <v>40299</v>
      </c>
      <c r="B510" s="19">
        <f t="shared" si="7"/>
        <v>18383</v>
      </c>
      <c r="C510" s="20">
        <v>18428561.670000002</v>
      </c>
      <c r="D510" s="20">
        <v>4438649.07</v>
      </c>
      <c r="E510" s="20">
        <v>4860399.76</v>
      </c>
      <c r="F510" s="20">
        <v>5778051.7400000002</v>
      </c>
      <c r="G510" s="20">
        <v>50625234.350000001</v>
      </c>
      <c r="H510" s="20">
        <v>5384590.25</v>
      </c>
      <c r="I510" s="20">
        <v>22736447.010000002</v>
      </c>
      <c r="J510" s="20">
        <v>1552756.99</v>
      </c>
      <c r="K510" s="20">
        <v>18495463.309999999</v>
      </c>
      <c r="L510" s="20">
        <v>798782.88</v>
      </c>
      <c r="M510" s="20">
        <v>4765983.8600000003</v>
      </c>
      <c r="N510" s="20">
        <v>31548440.879999999</v>
      </c>
      <c r="O510" s="34">
        <v>41252031.289999999</v>
      </c>
      <c r="P510" s="34">
        <v>13210.269999999553</v>
      </c>
      <c r="Q510" s="34">
        <v>26498171.600000001</v>
      </c>
      <c r="R510" s="20">
        <v>4004093.03</v>
      </c>
      <c r="S510" s="20">
        <v>512281160.22000003</v>
      </c>
      <c r="T510" s="20">
        <v>13573637.51</v>
      </c>
      <c r="U510" s="21">
        <v>42687</v>
      </c>
      <c r="V510" s="21">
        <v>119144.02</v>
      </c>
      <c r="W510" s="26">
        <v>12865.48</v>
      </c>
      <c r="X510" s="34">
        <v>-62389</v>
      </c>
      <c r="Y510" s="20">
        <v>767147973.19000006</v>
      </c>
    </row>
    <row r="511" spans="1:25" s="27" customFormat="1" x14ac:dyDescent="0.3">
      <c r="A511" s="18">
        <v>40330</v>
      </c>
      <c r="B511" s="19">
        <f t="shared" si="7"/>
        <v>18414</v>
      </c>
      <c r="C511" s="20">
        <v>101554572.98</v>
      </c>
      <c r="D511" s="20">
        <v>148286917.94999999</v>
      </c>
      <c r="E511" s="20">
        <v>934578.81</v>
      </c>
      <c r="F511" s="20">
        <v>3093343.92</v>
      </c>
      <c r="G511" s="20">
        <v>60461597.560000002</v>
      </c>
      <c r="H511" s="20">
        <v>6258069.2300000004</v>
      </c>
      <c r="I511" s="20">
        <v>28825905.82</v>
      </c>
      <c r="J511" s="20">
        <v>1563400.23</v>
      </c>
      <c r="K511" s="20">
        <v>20435215.009999998</v>
      </c>
      <c r="L511" s="20">
        <v>984557.18</v>
      </c>
      <c r="M511" s="20">
        <v>4769729.0599999996</v>
      </c>
      <c r="N511" s="20">
        <v>69286791.920000002</v>
      </c>
      <c r="O511" s="34">
        <v>50529023.649999999</v>
      </c>
      <c r="P511" s="34">
        <v>338377.21999999881</v>
      </c>
      <c r="Q511" s="34">
        <v>26498171.600000001</v>
      </c>
      <c r="R511" s="20">
        <v>4085016.86</v>
      </c>
      <c r="S511" s="20">
        <v>521995454.18000001</v>
      </c>
      <c r="T511" s="20">
        <v>11468643.17</v>
      </c>
      <c r="U511" s="21">
        <v>117509.43</v>
      </c>
      <c r="V511" s="21">
        <v>135988.91</v>
      </c>
      <c r="W511" s="26">
        <v>105670</v>
      </c>
      <c r="X511" s="34">
        <v>-32602.38</v>
      </c>
      <c r="Y511" s="20">
        <v>1061695932.3099999</v>
      </c>
    </row>
    <row r="512" spans="1:25" s="27" customFormat="1" x14ac:dyDescent="0.3">
      <c r="A512" s="18">
        <v>40360</v>
      </c>
      <c r="B512" s="19">
        <f t="shared" si="7"/>
        <v>18444</v>
      </c>
      <c r="C512" s="20">
        <v>20838884.66</v>
      </c>
      <c r="D512" s="20">
        <v>30625239.460000001</v>
      </c>
      <c r="E512" s="20">
        <v>775778</v>
      </c>
      <c r="F512" s="20">
        <v>13515207.699999999</v>
      </c>
      <c r="G512" s="20">
        <v>51516045.759999998</v>
      </c>
      <c r="H512" s="20">
        <v>5387270.04</v>
      </c>
      <c r="I512" s="20">
        <v>26461010.48</v>
      </c>
      <c r="J512" s="20">
        <v>1727304.55</v>
      </c>
      <c r="K512" s="20">
        <v>20506903.82</v>
      </c>
      <c r="L512" s="20">
        <v>916278.5</v>
      </c>
      <c r="M512" s="20">
        <v>4463343.42</v>
      </c>
      <c r="N512" s="20">
        <v>2954221.34</v>
      </c>
      <c r="O512" s="34">
        <v>21334492.039999999</v>
      </c>
      <c r="P512" s="34">
        <v>18472107.600000001</v>
      </c>
      <c r="Q512" s="34">
        <v>26498171.600000001</v>
      </c>
      <c r="R512" s="20">
        <v>4344476.46</v>
      </c>
      <c r="S512" s="20">
        <v>566652554.88</v>
      </c>
      <c r="T512" s="20">
        <v>16345346.470000001</v>
      </c>
      <c r="U512" s="21">
        <v>55535</v>
      </c>
      <c r="V512" s="21">
        <v>108264.62</v>
      </c>
      <c r="W512" s="26">
        <v>52350</v>
      </c>
      <c r="X512" s="34">
        <v>10910.05</v>
      </c>
      <c r="Y512" s="20">
        <v>833561696.44999993</v>
      </c>
    </row>
    <row r="513" spans="1:25" s="27" customFormat="1" x14ac:dyDescent="0.3">
      <c r="A513" s="18">
        <v>40391</v>
      </c>
      <c r="B513" s="19">
        <f t="shared" si="7"/>
        <v>18475</v>
      </c>
      <c r="C513" s="20">
        <v>2576864.1800000002</v>
      </c>
      <c r="D513" s="20">
        <v>8945407.25</v>
      </c>
      <c r="E513" s="20">
        <v>1533811.53</v>
      </c>
      <c r="F513" s="20">
        <v>6978224.4299999997</v>
      </c>
      <c r="G513" s="20">
        <v>55991811.289999999</v>
      </c>
      <c r="H513" s="20">
        <v>5307467.45</v>
      </c>
      <c r="I513" s="20">
        <v>26120264.48</v>
      </c>
      <c r="J513" s="20">
        <v>1545217.34</v>
      </c>
      <c r="K513" s="20">
        <v>20188037.629999999</v>
      </c>
      <c r="L513" s="20">
        <v>960543.51</v>
      </c>
      <c r="M513" s="20">
        <v>4602069.59</v>
      </c>
      <c r="N513" s="20">
        <v>13867985.84</v>
      </c>
      <c r="O513" s="34">
        <v>13756520.289999999</v>
      </c>
      <c r="P513" s="34">
        <v>9189283.0399999991</v>
      </c>
      <c r="Q513" s="34">
        <v>26498171.600000001</v>
      </c>
      <c r="R513" s="20">
        <v>3426983.24</v>
      </c>
      <c r="S513" s="20">
        <v>535126694.44</v>
      </c>
      <c r="T513" s="20">
        <v>12410081.66</v>
      </c>
      <c r="U513" s="20">
        <v>124450</v>
      </c>
      <c r="V513" s="20">
        <v>114291.81</v>
      </c>
      <c r="W513" s="26">
        <v>36680</v>
      </c>
      <c r="X513" s="34">
        <v>-16317.28</v>
      </c>
      <c r="Y513" s="20">
        <v>749284543.32000005</v>
      </c>
    </row>
    <row r="514" spans="1:25" s="27" customFormat="1" x14ac:dyDescent="0.3">
      <c r="A514" s="18">
        <v>40422</v>
      </c>
      <c r="B514" s="19">
        <f t="shared" si="7"/>
        <v>18506</v>
      </c>
      <c r="C514" s="22">
        <v>91981101.909999996</v>
      </c>
      <c r="D514" s="22">
        <v>177522370.75999999</v>
      </c>
      <c r="E514" s="22">
        <v>1069382.7</v>
      </c>
      <c r="F514" s="22">
        <v>8076589.6299999999</v>
      </c>
      <c r="G514" s="22">
        <v>57038932.530000001</v>
      </c>
      <c r="H514" s="22">
        <v>5753795.7000000002</v>
      </c>
      <c r="I514" s="22">
        <v>23562254.82</v>
      </c>
      <c r="J514" s="22">
        <v>1550413.3</v>
      </c>
      <c r="K514" s="22">
        <v>18800877.640000001</v>
      </c>
      <c r="L514" s="22">
        <v>920797.33</v>
      </c>
      <c r="M514" s="22">
        <v>4473505.24</v>
      </c>
      <c r="N514" s="22">
        <v>11151507.43</v>
      </c>
      <c r="O514" s="34">
        <v>13703744.5</v>
      </c>
      <c r="P514" s="34">
        <v>48302.890000000596</v>
      </c>
      <c r="Q514" s="34">
        <v>33676145.399999999</v>
      </c>
      <c r="R514" s="22">
        <v>3751079.74</v>
      </c>
      <c r="S514" s="22">
        <v>512311555.63</v>
      </c>
      <c r="T514" s="22">
        <v>11878216.390000001</v>
      </c>
      <c r="U514" s="22">
        <v>89674.21</v>
      </c>
      <c r="V514" s="22">
        <v>70989.2</v>
      </c>
      <c r="W514" s="28">
        <v>41600</v>
      </c>
      <c r="X514" s="34">
        <v>43</v>
      </c>
      <c r="Y514" s="22">
        <v>977472879.94999993</v>
      </c>
    </row>
    <row r="515" spans="1:25" s="27" customFormat="1" x14ac:dyDescent="0.3">
      <c r="A515" s="18">
        <v>40452</v>
      </c>
      <c r="B515" s="19">
        <f>A515-21916</f>
        <v>18536</v>
      </c>
      <c r="C515" s="22">
        <v>68025294.200000003</v>
      </c>
      <c r="D515" s="22">
        <v>-58656611.310000002</v>
      </c>
      <c r="E515" s="22">
        <v>2572085.11</v>
      </c>
      <c r="F515" s="22">
        <v>12097640.460000001</v>
      </c>
      <c r="G515" s="22">
        <v>49960548.140000001</v>
      </c>
      <c r="H515" s="22">
        <v>5216566.01</v>
      </c>
      <c r="I515" s="22">
        <v>25282542.289999999</v>
      </c>
      <c r="J515" s="22">
        <v>1473475.12</v>
      </c>
      <c r="K515" s="22">
        <v>17945807.239999998</v>
      </c>
      <c r="L515" s="22">
        <v>878973.91</v>
      </c>
      <c r="M515" s="22">
        <v>4460244.96</v>
      </c>
      <c r="N515" s="22">
        <v>2317258</v>
      </c>
      <c r="O515" s="34">
        <v>19740041.399999999</v>
      </c>
      <c r="P515" s="34">
        <v>47356.769999999553</v>
      </c>
      <c r="Q515" s="34">
        <v>26095313.170000002</v>
      </c>
      <c r="R515" s="22">
        <v>3341730.86</v>
      </c>
      <c r="S515" s="22">
        <v>536923388.76999998</v>
      </c>
      <c r="T515" s="22">
        <v>15024520.77</v>
      </c>
      <c r="U515" s="22">
        <v>77029.73</v>
      </c>
      <c r="V515" s="22">
        <v>183327.59</v>
      </c>
      <c r="W515" s="28">
        <v>2944.24</v>
      </c>
      <c r="X515" s="34">
        <v>-194075.14</v>
      </c>
      <c r="Y515" s="22">
        <v>732815402.29000008</v>
      </c>
    </row>
    <row r="516" spans="1:25" s="27" customFormat="1" x14ac:dyDescent="0.3">
      <c r="A516" s="18">
        <v>40483</v>
      </c>
      <c r="B516" s="19">
        <f t="shared" ref="B516:B570" si="8">A516-21916</f>
        <v>18567</v>
      </c>
      <c r="C516" s="20">
        <v>20313362.800000001</v>
      </c>
      <c r="D516" s="22">
        <v>17375448.960000001</v>
      </c>
      <c r="E516" s="22">
        <v>759811.06</v>
      </c>
      <c r="F516" s="22">
        <v>5962521.7000000002</v>
      </c>
      <c r="G516" s="22">
        <v>55855856.469999999</v>
      </c>
      <c r="H516" s="22">
        <v>5643783.7599999998</v>
      </c>
      <c r="I516" s="22">
        <v>23856437.559999999</v>
      </c>
      <c r="J516" s="22">
        <v>1340424.3</v>
      </c>
      <c r="K516" s="22">
        <v>16654732.109999999</v>
      </c>
      <c r="L516" s="22">
        <v>827614.68</v>
      </c>
      <c r="M516" s="22">
        <v>4836212.4400000004</v>
      </c>
      <c r="N516" s="22">
        <v>3786106.68</v>
      </c>
      <c r="O516" s="34">
        <v>13812190.33</v>
      </c>
      <c r="P516" s="34">
        <v>43855.420000001788</v>
      </c>
      <c r="Q516" s="34">
        <v>26095313.170000002</v>
      </c>
      <c r="R516" s="22">
        <v>4088294.15</v>
      </c>
      <c r="S516" s="22">
        <v>515404545.99000001</v>
      </c>
      <c r="T516" s="22">
        <v>15234913.33</v>
      </c>
      <c r="U516" s="22">
        <v>72570.38</v>
      </c>
      <c r="V516" s="22">
        <v>124988.9</v>
      </c>
      <c r="W516" s="28">
        <v>410</v>
      </c>
      <c r="X516" s="34">
        <v>-40759.99</v>
      </c>
      <c r="Y516" s="22">
        <v>732048634.20000005</v>
      </c>
    </row>
    <row r="517" spans="1:25" s="27" customFormat="1" x14ac:dyDescent="0.3">
      <c r="A517" s="18">
        <v>40513</v>
      </c>
      <c r="B517" s="19">
        <f t="shared" si="8"/>
        <v>18597</v>
      </c>
      <c r="C517" s="20">
        <v>25648837.559999999</v>
      </c>
      <c r="D517" s="22">
        <v>125860205.11</v>
      </c>
      <c r="E517" s="22">
        <v>5147419.6399999997</v>
      </c>
      <c r="F517" s="22">
        <v>9270485.7899999991</v>
      </c>
      <c r="G517" s="22">
        <v>48550318.75</v>
      </c>
      <c r="H517" s="22">
        <v>5059385.54</v>
      </c>
      <c r="I517" s="22">
        <v>26787633.329999998</v>
      </c>
      <c r="J517" s="22">
        <v>1263669.81</v>
      </c>
      <c r="K517" s="22">
        <v>15258670.380000001</v>
      </c>
      <c r="L517" s="22">
        <v>758348.53</v>
      </c>
      <c r="M517" s="22">
        <v>4313943.37</v>
      </c>
      <c r="N517" s="22">
        <v>4296691.78</v>
      </c>
      <c r="O517" s="34">
        <v>14247923.640000001</v>
      </c>
      <c r="P517" s="34">
        <v>-52232.519999999553</v>
      </c>
      <c r="Q517" s="34">
        <v>26095313.170000002</v>
      </c>
      <c r="R517" s="22">
        <v>4011573.09</v>
      </c>
      <c r="S517" s="22">
        <v>502477635.81</v>
      </c>
      <c r="T517" s="22">
        <v>9413507.4499999993</v>
      </c>
      <c r="U517" s="22">
        <v>78275.58</v>
      </c>
      <c r="V517" s="22">
        <v>195983.8</v>
      </c>
      <c r="W517" s="28">
        <v>6370</v>
      </c>
      <c r="X517" s="34">
        <v>-107967.05</v>
      </c>
      <c r="Y517" s="22">
        <v>828581992.55999994</v>
      </c>
    </row>
    <row r="518" spans="1:25" s="27" customFormat="1" x14ac:dyDescent="0.3">
      <c r="A518" s="18">
        <v>40544</v>
      </c>
      <c r="B518" s="19">
        <f t="shared" si="8"/>
        <v>18628</v>
      </c>
      <c r="C518" s="20">
        <v>91949931.060000002</v>
      </c>
      <c r="D518" s="22">
        <v>68210410.709999993</v>
      </c>
      <c r="E518" s="22">
        <v>3166137.1</v>
      </c>
      <c r="F518" s="22">
        <v>4608368.1399999997</v>
      </c>
      <c r="G518" s="22">
        <v>49797857.390000001</v>
      </c>
      <c r="H518" s="22">
        <v>5133415.3600000003</v>
      </c>
      <c r="I518" s="22">
        <v>18914459.140000001</v>
      </c>
      <c r="J518" s="22">
        <v>2630832.08</v>
      </c>
      <c r="K518" s="22">
        <v>17997532.68</v>
      </c>
      <c r="L518" s="22">
        <v>808045.58</v>
      </c>
      <c r="M518" s="22">
        <v>5157336.6900000004</v>
      </c>
      <c r="N518" s="22">
        <v>2042214.08</v>
      </c>
      <c r="O518" s="34">
        <v>18459404</v>
      </c>
      <c r="P518" s="34">
        <v>71023.109999999404</v>
      </c>
      <c r="Q518" s="34">
        <v>26095313.170000002</v>
      </c>
      <c r="R518" s="22">
        <v>6195798.3299999991</v>
      </c>
      <c r="S518" s="22">
        <v>660883594.58000004</v>
      </c>
      <c r="T518" s="22">
        <v>15111480.460000001</v>
      </c>
      <c r="U518" s="22">
        <v>59175.95</v>
      </c>
      <c r="V518" s="22">
        <v>112958.8</v>
      </c>
      <c r="W518" s="28">
        <v>0</v>
      </c>
      <c r="X518" s="34">
        <v>-68443.25</v>
      </c>
      <c r="Y518" s="22">
        <v>997336845.16000009</v>
      </c>
    </row>
    <row r="519" spans="1:25" s="27" customFormat="1" x14ac:dyDescent="0.3">
      <c r="A519" s="18">
        <v>40575</v>
      </c>
      <c r="B519" s="19">
        <f t="shared" si="8"/>
        <v>18659</v>
      </c>
      <c r="C519" s="22">
        <v>12299706.98</v>
      </c>
      <c r="D519" s="22">
        <v>20565918.710000001</v>
      </c>
      <c r="E519" s="22">
        <v>3169909.73</v>
      </c>
      <c r="F519" s="22">
        <v>7201483.6900000004</v>
      </c>
      <c r="G519" s="22">
        <v>51065824.280000001</v>
      </c>
      <c r="H519" s="22">
        <v>5152200.7</v>
      </c>
      <c r="I519" s="22">
        <v>20490901.989999998</v>
      </c>
      <c r="J519" s="22">
        <v>1084704.82</v>
      </c>
      <c r="K519" s="22">
        <v>20399745.879999999</v>
      </c>
      <c r="L519" s="22">
        <v>816678.45</v>
      </c>
      <c r="M519" s="22">
        <v>4504464.7300000004</v>
      </c>
      <c r="N519" s="22">
        <v>13069290.48</v>
      </c>
      <c r="O519" s="34">
        <v>12178169.43</v>
      </c>
      <c r="P519" s="34">
        <v>27204.260000001639</v>
      </c>
      <c r="Q519" s="34">
        <v>26095313.170000002</v>
      </c>
      <c r="R519" s="22">
        <v>2698425.57</v>
      </c>
      <c r="S519" s="22">
        <v>455267063.89999998</v>
      </c>
      <c r="T519" s="22">
        <v>13438916.91</v>
      </c>
      <c r="U519" s="22">
        <v>40829.99</v>
      </c>
      <c r="V519" s="22">
        <v>119224.82</v>
      </c>
      <c r="W519" s="28">
        <v>630</v>
      </c>
      <c r="X519" s="34">
        <v>-7307.76</v>
      </c>
      <c r="Y519" s="22">
        <v>669679300.73000002</v>
      </c>
    </row>
    <row r="520" spans="1:25" s="27" customFormat="1" x14ac:dyDescent="0.3">
      <c r="A520" s="18">
        <v>40603</v>
      </c>
      <c r="B520" s="19">
        <f t="shared" si="8"/>
        <v>18687</v>
      </c>
      <c r="C520" s="22">
        <v>54471082.700000003</v>
      </c>
      <c r="D520" s="22">
        <v>69523052.719999999</v>
      </c>
      <c r="E520" s="22">
        <v>13603930.17</v>
      </c>
      <c r="F520" s="22">
        <v>16876978.719999999</v>
      </c>
      <c r="G520" s="22">
        <v>40796459.049999997</v>
      </c>
      <c r="H520" s="22">
        <v>4331128.93</v>
      </c>
      <c r="I520" s="22">
        <v>24824663.079999998</v>
      </c>
      <c r="J520" s="22">
        <v>1345484.66</v>
      </c>
      <c r="K520" s="22">
        <v>28728860.329999998</v>
      </c>
      <c r="L520" s="22">
        <v>1198852.2</v>
      </c>
      <c r="M520" s="22">
        <v>4898880.8099999996</v>
      </c>
      <c r="N520" s="22">
        <v>4977948.03</v>
      </c>
      <c r="O520" s="34">
        <v>11332853.029999999</v>
      </c>
      <c r="P520" s="34">
        <v>-315476.12000000104</v>
      </c>
      <c r="Q520" s="34">
        <v>26095313.170000002</v>
      </c>
      <c r="R520" s="22">
        <v>3659587.56</v>
      </c>
      <c r="S520" s="22">
        <v>500067194.74000001</v>
      </c>
      <c r="T520" s="22">
        <v>8915613.1900000013</v>
      </c>
      <c r="U520" s="22">
        <v>58203</v>
      </c>
      <c r="V520" s="22">
        <v>114041.18</v>
      </c>
      <c r="W520" s="28">
        <v>2330</v>
      </c>
      <c r="X520" s="34">
        <v>-54797.95</v>
      </c>
      <c r="Y520" s="22">
        <v>815452183.19999993</v>
      </c>
    </row>
    <row r="521" spans="1:25" s="27" customFormat="1" x14ac:dyDescent="0.3">
      <c r="A521" s="18">
        <v>40634</v>
      </c>
      <c r="B521" s="19">
        <f t="shared" si="8"/>
        <v>18718</v>
      </c>
      <c r="C521" s="22">
        <v>122695805.63</v>
      </c>
      <c r="D521" s="22">
        <v>218441556.37</v>
      </c>
      <c r="E521" s="22">
        <v>152003098.84</v>
      </c>
      <c r="F521" s="22">
        <v>18204844.57</v>
      </c>
      <c r="G521" s="22">
        <v>52691220.729999997</v>
      </c>
      <c r="H521" s="22">
        <v>5322714.4400000004</v>
      </c>
      <c r="I521" s="22">
        <v>24002980.710000001</v>
      </c>
      <c r="J521" s="22">
        <v>1298868.5900000001</v>
      </c>
      <c r="K521" s="22">
        <v>28570819.940000001</v>
      </c>
      <c r="L521" s="22">
        <v>944347.26</v>
      </c>
      <c r="M521" s="22">
        <v>5125132.7699999996</v>
      </c>
      <c r="N521" s="22">
        <v>3251987.3</v>
      </c>
      <c r="O521" s="34">
        <v>17673675.93</v>
      </c>
      <c r="P521" s="34">
        <v>76739.539999999106</v>
      </c>
      <c r="Q521" s="34">
        <v>26095313.170000002</v>
      </c>
      <c r="R521" s="22">
        <v>4406398.84</v>
      </c>
      <c r="S521" s="22">
        <v>568080076.55999994</v>
      </c>
      <c r="T521" s="22">
        <v>15086798.399999999</v>
      </c>
      <c r="U521" s="22">
        <v>54558</v>
      </c>
      <c r="V521" s="22">
        <v>139062.9</v>
      </c>
      <c r="W521" s="28">
        <v>5810</v>
      </c>
      <c r="X521" s="34">
        <v>-3.32</v>
      </c>
      <c r="Y521" s="22">
        <v>1264171807.1700003</v>
      </c>
    </row>
    <row r="522" spans="1:25" s="27" customFormat="1" x14ac:dyDescent="0.3">
      <c r="A522" s="18">
        <v>40664</v>
      </c>
      <c r="B522" s="19">
        <f t="shared" si="8"/>
        <v>18748</v>
      </c>
      <c r="C522" s="22">
        <v>17853747.699999999</v>
      </c>
      <c r="D522" s="22">
        <v>29651050.329999998</v>
      </c>
      <c r="E522" s="22">
        <v>4212470.1500000004</v>
      </c>
      <c r="F522" s="22">
        <v>5478200.9400000004</v>
      </c>
      <c r="G522" s="22">
        <v>51792704.829999998</v>
      </c>
      <c r="H522" s="22">
        <v>5240844.96</v>
      </c>
      <c r="I522" s="22">
        <v>22496871.789999999</v>
      </c>
      <c r="J522" s="22">
        <v>1862545.04</v>
      </c>
      <c r="K522" s="22">
        <v>19406008.600000001</v>
      </c>
      <c r="L522" s="22">
        <v>982549.16</v>
      </c>
      <c r="M522" s="22">
        <v>5273767.7699999996</v>
      </c>
      <c r="N522" s="22">
        <v>45199391.310000002</v>
      </c>
      <c r="O522" s="34">
        <v>49755322.539999999</v>
      </c>
      <c r="P522" s="34">
        <v>128628.16000000015</v>
      </c>
      <c r="Q522" s="34">
        <v>26095313.170000002</v>
      </c>
      <c r="R522" s="22">
        <v>3961428.31</v>
      </c>
      <c r="S522" s="22">
        <v>538780074.65999997</v>
      </c>
      <c r="T522" s="22">
        <v>14169424.24</v>
      </c>
      <c r="U522" s="22">
        <v>60166.48</v>
      </c>
      <c r="V522" s="22">
        <v>113606.63</v>
      </c>
      <c r="W522" s="28">
        <v>450</v>
      </c>
      <c r="X522" s="34">
        <v>-15432.41</v>
      </c>
      <c r="Y522" s="22">
        <v>842499134.36000001</v>
      </c>
    </row>
    <row r="523" spans="1:25" s="27" customFormat="1" x14ac:dyDescent="0.3">
      <c r="A523" s="18">
        <v>40695</v>
      </c>
      <c r="B523" s="19">
        <f t="shared" si="8"/>
        <v>18779</v>
      </c>
      <c r="C523" s="22">
        <v>111572865.95999999</v>
      </c>
      <c r="D523" s="22">
        <v>171204200.72999999</v>
      </c>
      <c r="E523" s="8">
        <v>1504198.03</v>
      </c>
      <c r="F523" s="22">
        <v>5080640.8099999996</v>
      </c>
      <c r="G523" s="22">
        <v>58139585.82</v>
      </c>
      <c r="H523" s="22">
        <v>5896710.7400000002</v>
      </c>
      <c r="I523" s="22">
        <v>27947323.82</v>
      </c>
      <c r="J523" s="22">
        <v>1640718.62</v>
      </c>
      <c r="K523" s="22">
        <v>21271357.510000002</v>
      </c>
      <c r="L523" s="22">
        <v>1026755.56</v>
      </c>
      <c r="M523" s="22">
        <v>5229062.5</v>
      </c>
      <c r="N523" s="22">
        <v>11101268.77</v>
      </c>
      <c r="O523" s="34">
        <v>48087431.700000003</v>
      </c>
      <c r="P523" s="34">
        <v>15973.379999998957</v>
      </c>
      <c r="Q523" s="34">
        <v>26095313.170000002</v>
      </c>
      <c r="R523" s="22">
        <v>4478519.04</v>
      </c>
      <c r="S523" s="22">
        <v>554963608.13999999</v>
      </c>
      <c r="T523" s="22">
        <v>11722354.710000001</v>
      </c>
      <c r="U523" s="22">
        <v>52917.97</v>
      </c>
      <c r="V523" s="22">
        <v>135470.97</v>
      </c>
      <c r="W523" s="28">
        <v>141390</v>
      </c>
      <c r="X523" s="34">
        <v>0</v>
      </c>
      <c r="Y523" s="22">
        <v>1067307667.95</v>
      </c>
    </row>
    <row r="524" spans="1:25" s="27" customFormat="1" x14ac:dyDescent="0.3">
      <c r="A524" s="18">
        <v>40725</v>
      </c>
      <c r="B524" s="19">
        <f t="shared" si="8"/>
        <v>18809</v>
      </c>
      <c r="C524" s="22">
        <v>15953378.49</v>
      </c>
      <c r="D524" s="22">
        <v>34432871.310000002</v>
      </c>
      <c r="E524" s="22">
        <v>-145222.15</v>
      </c>
      <c r="F524" s="22">
        <v>7602909.9299999997</v>
      </c>
      <c r="G524" s="22">
        <v>52472068.590000004</v>
      </c>
      <c r="H524" s="22">
        <v>5370966.2199999997</v>
      </c>
      <c r="I524" s="22">
        <v>25498170.300000001</v>
      </c>
      <c r="J524" s="22">
        <v>1778454.8</v>
      </c>
      <c r="K524" s="22">
        <v>20738010.619999997</v>
      </c>
      <c r="L524" s="22">
        <v>928886.15</v>
      </c>
      <c r="M524" s="22">
        <v>5281725.9400000004</v>
      </c>
      <c r="N524" s="22">
        <v>4269252.08</v>
      </c>
      <c r="O524" s="34">
        <v>18714950.010000002</v>
      </c>
      <c r="P524" s="34">
        <v>9891331.1499999985</v>
      </c>
      <c r="Q524" s="34">
        <v>26095313.170000002</v>
      </c>
      <c r="R524" s="22">
        <v>4671480.41</v>
      </c>
      <c r="S524" s="22">
        <v>594270773.75999999</v>
      </c>
      <c r="T524" s="22">
        <v>15227017.149999999</v>
      </c>
      <c r="U524" s="22">
        <v>77210</v>
      </c>
      <c r="V524" s="22">
        <v>129401.79</v>
      </c>
      <c r="W524" s="28">
        <v>34810</v>
      </c>
      <c r="X524" s="34">
        <v>-1072.1500000000001</v>
      </c>
      <c r="Y524" s="22">
        <v>843292687.56999993</v>
      </c>
    </row>
    <row r="525" spans="1:25" s="27" customFormat="1" x14ac:dyDescent="0.3">
      <c r="A525" s="18">
        <v>40756</v>
      </c>
      <c r="B525" s="19">
        <f t="shared" si="8"/>
        <v>18840</v>
      </c>
      <c r="C525" s="22">
        <v>12457772.59</v>
      </c>
      <c r="D525" s="22">
        <v>21416537.199999999</v>
      </c>
      <c r="E525" s="22">
        <v>1125718.24</v>
      </c>
      <c r="F525" s="22">
        <v>9506106.5600000005</v>
      </c>
      <c r="G525" s="22">
        <v>52809542.299999997</v>
      </c>
      <c r="H525" s="22">
        <v>5459208.1600000001</v>
      </c>
      <c r="I525" s="22">
        <v>22383879.760000002</v>
      </c>
      <c r="J525" s="22">
        <v>1483813.99</v>
      </c>
      <c r="K525" s="22">
        <v>19597582.170000002</v>
      </c>
      <c r="L525" s="22">
        <v>1139710.8600000001</v>
      </c>
      <c r="M525" s="22">
        <v>5326748.41</v>
      </c>
      <c r="N525" s="22">
        <v>16438635.34</v>
      </c>
      <c r="O525" s="34">
        <v>14995162.5</v>
      </c>
      <c r="P525" s="34">
        <v>15321777.219999999</v>
      </c>
      <c r="Q525" s="34">
        <v>26095313.170000002</v>
      </c>
      <c r="R525" s="22">
        <v>3583098.92</v>
      </c>
      <c r="S525" s="22">
        <v>562362747.73000002</v>
      </c>
      <c r="T525" s="22">
        <v>14895986.629999999</v>
      </c>
      <c r="U525" s="22">
        <v>100627</v>
      </c>
      <c r="V525" s="22">
        <v>117956</v>
      </c>
      <c r="W525" s="28">
        <v>11890</v>
      </c>
      <c r="X525" s="34">
        <v>0</v>
      </c>
      <c r="Y525" s="22">
        <v>806629814.75</v>
      </c>
    </row>
    <row r="526" spans="1:25" s="27" customFormat="1" x14ac:dyDescent="0.3">
      <c r="A526" s="18">
        <v>40787</v>
      </c>
      <c r="B526" s="19">
        <f t="shared" si="8"/>
        <v>18871</v>
      </c>
      <c r="C526" s="22">
        <v>105540086.73</v>
      </c>
      <c r="D526" s="22">
        <v>147220870.25999999</v>
      </c>
      <c r="E526" s="22">
        <v>972043.19</v>
      </c>
      <c r="F526" s="22">
        <v>20313123.02</v>
      </c>
      <c r="G526" s="22">
        <v>52984850.009999998</v>
      </c>
      <c r="H526" s="22">
        <v>5474673.7599999998</v>
      </c>
      <c r="I526" s="22">
        <v>24569616.079999998</v>
      </c>
      <c r="J526" s="22">
        <v>1663141.83</v>
      </c>
      <c r="K526" s="22">
        <v>20629429.949999999</v>
      </c>
      <c r="L526" s="22">
        <v>953080.95</v>
      </c>
      <c r="M526" s="22">
        <v>5070694.05</v>
      </c>
      <c r="N526" s="22">
        <v>9188879.9199999999</v>
      </c>
      <c r="O526" s="34">
        <v>15347404.51</v>
      </c>
      <c r="P526" s="34">
        <v>138887.38</v>
      </c>
      <c r="Q526" s="34">
        <v>32265011.129999999</v>
      </c>
      <c r="R526" s="22">
        <v>4162232.19</v>
      </c>
      <c r="S526" s="22">
        <v>554974531.16999996</v>
      </c>
      <c r="T526" s="22">
        <v>11502487.4</v>
      </c>
      <c r="U526" s="22">
        <v>141286.97</v>
      </c>
      <c r="V526" s="22">
        <v>147044.65</v>
      </c>
      <c r="W526" s="28">
        <v>6800</v>
      </c>
      <c r="X526" s="34">
        <v>-18353.77</v>
      </c>
      <c r="Y526" s="22">
        <v>1013247821.38</v>
      </c>
    </row>
    <row r="527" spans="1:25" s="27" customFormat="1" x14ac:dyDescent="0.3">
      <c r="A527" s="18">
        <v>40817</v>
      </c>
      <c r="B527" s="19">
        <f t="shared" si="8"/>
        <v>18901</v>
      </c>
      <c r="C527" s="22">
        <v>36174032.270000003</v>
      </c>
      <c r="D527" s="22">
        <v>-1084124.8600000001</v>
      </c>
      <c r="E527" s="22">
        <v>1925268.22</v>
      </c>
      <c r="F527" s="22">
        <v>6573549.5700000003</v>
      </c>
      <c r="G527" s="22">
        <v>50434401.439999998</v>
      </c>
      <c r="H527" s="22">
        <v>5204677.3899999997</v>
      </c>
      <c r="I527" s="22">
        <v>23575940.18</v>
      </c>
      <c r="J527" s="22">
        <v>1586869.44</v>
      </c>
      <c r="K527" s="22">
        <v>18277368.629999999</v>
      </c>
      <c r="L527" s="22">
        <v>884842.29</v>
      </c>
      <c r="M527" s="22">
        <v>5196466.2</v>
      </c>
      <c r="N527" s="22">
        <v>3234831.7</v>
      </c>
      <c r="O527" s="34">
        <v>20548541.5</v>
      </c>
      <c r="P527" s="34">
        <v>214045.68</v>
      </c>
      <c r="Q527" s="34">
        <v>28661891.91</v>
      </c>
      <c r="R527" s="22">
        <v>3878148.73</v>
      </c>
      <c r="S527" s="22">
        <v>570026876.26999998</v>
      </c>
      <c r="T527" s="22">
        <v>15915124.880000001</v>
      </c>
      <c r="U527" s="22">
        <v>103312.99</v>
      </c>
      <c r="V527" s="22">
        <v>120461.85</v>
      </c>
      <c r="W527" s="28">
        <v>32110</v>
      </c>
      <c r="X527" s="34">
        <v>0</v>
      </c>
      <c r="Y527" s="22">
        <v>791484636.27999997</v>
      </c>
    </row>
    <row r="528" spans="1:25" s="27" customFormat="1" x14ac:dyDescent="0.3">
      <c r="A528" s="18">
        <v>40848</v>
      </c>
      <c r="B528" s="19">
        <f t="shared" si="8"/>
        <v>18932</v>
      </c>
      <c r="C528" s="22">
        <v>23138619.84</v>
      </c>
      <c r="D528" s="22">
        <v>17576723.120000001</v>
      </c>
      <c r="E528" s="22">
        <v>1060581.77</v>
      </c>
      <c r="F528" s="22">
        <v>6378007.6100000003</v>
      </c>
      <c r="G528" s="22">
        <v>50935862.770000003</v>
      </c>
      <c r="H528" s="22">
        <v>5362984.21</v>
      </c>
      <c r="I528" s="22">
        <v>24882148.280000001</v>
      </c>
      <c r="J528" s="22">
        <v>1327173.06</v>
      </c>
      <c r="K528" s="22">
        <v>18010417.41</v>
      </c>
      <c r="L528" s="22">
        <v>844349.32</v>
      </c>
      <c r="M528" s="22">
        <v>5417802.1200000001</v>
      </c>
      <c r="N528" s="22">
        <v>5281566.4800000004</v>
      </c>
      <c r="O528" s="34">
        <v>16165820.85</v>
      </c>
      <c r="P528" s="34">
        <v>102417.29</v>
      </c>
      <c r="Q528" s="34">
        <v>28661891.91</v>
      </c>
      <c r="R528" s="22">
        <v>3965612.84</v>
      </c>
      <c r="S528" s="22">
        <v>542131051.12</v>
      </c>
      <c r="T528" s="22">
        <v>14095192.85</v>
      </c>
      <c r="U528" s="22">
        <v>84145.74</v>
      </c>
      <c r="V528" s="22">
        <v>157635.42000000001</v>
      </c>
      <c r="W528" s="28">
        <v>9730</v>
      </c>
      <c r="X528" s="34">
        <v>0</v>
      </c>
      <c r="Y528" s="22">
        <v>765589734</v>
      </c>
    </row>
    <row r="529" spans="1:25" s="27" customFormat="1" x14ac:dyDescent="0.3">
      <c r="A529" s="18">
        <v>40878</v>
      </c>
      <c r="B529" s="19">
        <f t="shared" si="8"/>
        <v>18962</v>
      </c>
      <c r="C529" s="22">
        <v>93405553.200000003</v>
      </c>
      <c r="D529" s="22">
        <v>163940282.06999999</v>
      </c>
      <c r="E529" s="22">
        <v>2305596.2000000002</v>
      </c>
      <c r="F529" s="22">
        <v>4146190.34</v>
      </c>
      <c r="G529" s="22">
        <v>52146158.539999999</v>
      </c>
      <c r="H529" s="22">
        <v>5359367.12</v>
      </c>
      <c r="I529" s="22">
        <v>23416061.489999998</v>
      </c>
      <c r="J529" s="22">
        <v>1229176.08</v>
      </c>
      <c r="K529" s="22">
        <v>15634925.23</v>
      </c>
      <c r="L529" s="22">
        <v>795540.14</v>
      </c>
      <c r="M529" s="22">
        <v>4926577.5599999996</v>
      </c>
      <c r="N529" s="22">
        <v>4271643.08</v>
      </c>
      <c r="O529" s="34">
        <v>13469210.550000001</v>
      </c>
      <c r="P529" s="34">
        <v>-17383.63</v>
      </c>
      <c r="Q529" s="34">
        <v>28661891.91</v>
      </c>
      <c r="R529" s="22">
        <v>4904945.79</v>
      </c>
      <c r="S529" s="22">
        <v>536535249.47000003</v>
      </c>
      <c r="T529" s="22">
        <v>10340604.489999998</v>
      </c>
      <c r="U529" s="22">
        <v>75692</v>
      </c>
      <c r="V529" s="22">
        <v>110281.61</v>
      </c>
      <c r="W529" s="28">
        <v>0</v>
      </c>
      <c r="X529" s="34">
        <v>0</v>
      </c>
      <c r="Y529" s="22">
        <v>965657563.24000013</v>
      </c>
    </row>
    <row r="530" spans="1:25" s="27" customFormat="1" x14ac:dyDescent="0.3">
      <c r="A530" s="18">
        <v>40909</v>
      </c>
      <c r="B530" s="19">
        <f t="shared" si="8"/>
        <v>18993</v>
      </c>
      <c r="C530" s="22">
        <v>62343953.82</v>
      </c>
      <c r="D530" s="22">
        <v>94983731.319999993</v>
      </c>
      <c r="E530" s="22">
        <v>2147091.11</v>
      </c>
      <c r="F530" s="22">
        <v>8281399.6200000001</v>
      </c>
      <c r="G530" s="22">
        <v>52861888.140000001</v>
      </c>
      <c r="H530" s="22">
        <v>5281697.33</v>
      </c>
      <c r="I530" s="22">
        <v>19202404.829999998</v>
      </c>
      <c r="J530" s="22">
        <v>1221914.6599999999</v>
      </c>
      <c r="K530" s="22">
        <v>19486169.609999999</v>
      </c>
      <c r="L530" s="22">
        <v>983069.09</v>
      </c>
      <c r="M530" s="22">
        <v>5823185.1299999999</v>
      </c>
      <c r="N530" s="22">
        <v>2200928.12</v>
      </c>
      <c r="O530" s="34">
        <v>21818806.940000001</v>
      </c>
      <c r="P530" s="34">
        <v>51693.65</v>
      </c>
      <c r="Q530" s="34">
        <v>28661891.91</v>
      </c>
      <c r="R530" s="22">
        <v>6038543.3700000001</v>
      </c>
      <c r="S530" s="22">
        <v>710227710.65999997</v>
      </c>
      <c r="T530" s="22">
        <v>14511071.43</v>
      </c>
      <c r="U530" s="22">
        <v>46490.81</v>
      </c>
      <c r="V530" s="22">
        <v>133091.9</v>
      </c>
      <c r="W530" s="28">
        <v>15817.06</v>
      </c>
      <c r="X530" s="34">
        <v>-1103.06</v>
      </c>
      <c r="Y530" s="22">
        <v>1056321447.4499998</v>
      </c>
    </row>
    <row r="531" spans="1:25" s="27" customFormat="1" x14ac:dyDescent="0.3">
      <c r="A531" s="18">
        <v>40940</v>
      </c>
      <c r="B531" s="19">
        <f t="shared" si="8"/>
        <v>19024</v>
      </c>
      <c r="C531" s="22">
        <v>16271538.060000001</v>
      </c>
      <c r="D531" s="22">
        <v>23482166.699999999</v>
      </c>
      <c r="E531" s="22">
        <v>2417437.89</v>
      </c>
      <c r="F531" s="22">
        <v>3078506.99</v>
      </c>
      <c r="G531" s="22">
        <v>50577097.359999999</v>
      </c>
      <c r="H531" s="22">
        <v>5071336.97</v>
      </c>
      <c r="I531" s="22">
        <v>19963621.609999999</v>
      </c>
      <c r="J531" s="22">
        <v>1451083.19</v>
      </c>
      <c r="K531" s="22">
        <v>20880610.740000002</v>
      </c>
      <c r="L531" s="22">
        <v>885983.93</v>
      </c>
      <c r="M531" s="22">
        <v>4951287.75</v>
      </c>
      <c r="N531" s="22">
        <v>17154145.870000001</v>
      </c>
      <c r="O531" s="34">
        <v>15166340.859999999</v>
      </c>
      <c r="P531" s="34">
        <v>317742.15999999997</v>
      </c>
      <c r="Q531" s="34">
        <v>28661891.91</v>
      </c>
      <c r="R531" s="22">
        <v>2993864.84</v>
      </c>
      <c r="S531" s="22">
        <v>501865565.06</v>
      </c>
      <c r="T531" s="22">
        <v>11182157.52</v>
      </c>
      <c r="U531" s="22">
        <v>62895</v>
      </c>
      <c r="V531" s="22">
        <v>130347.72</v>
      </c>
      <c r="W531" s="28">
        <v>930</v>
      </c>
      <c r="X531" s="34">
        <v>0</v>
      </c>
      <c r="Y531" s="22">
        <v>726566552.13</v>
      </c>
    </row>
    <row r="532" spans="1:25" s="27" customFormat="1" ht="12.45" x14ac:dyDescent="0.3">
      <c r="A532" s="30">
        <v>40969</v>
      </c>
      <c r="B532" s="19">
        <f t="shared" si="8"/>
        <v>19053</v>
      </c>
      <c r="C532" s="31">
        <v>77502940.640000001</v>
      </c>
      <c r="D532" s="31">
        <v>114540784.67</v>
      </c>
      <c r="E532" s="31">
        <v>14346398.449999999</v>
      </c>
      <c r="F532" s="31">
        <v>6614377.7999999998</v>
      </c>
      <c r="G532" s="31">
        <v>42267592.520000003</v>
      </c>
      <c r="H532" s="31">
        <v>4437702.92</v>
      </c>
      <c r="I532" s="31">
        <v>24064194.25</v>
      </c>
      <c r="J532" s="31">
        <v>1533275.81</v>
      </c>
      <c r="K532" s="31">
        <v>24135233.5</v>
      </c>
      <c r="L532" s="31">
        <v>1159195.8500000001</v>
      </c>
      <c r="M532" s="31">
        <v>5496055.6500000004</v>
      </c>
      <c r="N532" s="31">
        <v>4695763.49</v>
      </c>
      <c r="O532" s="34">
        <v>14426016.34</v>
      </c>
      <c r="P532" s="34">
        <v>28264.3</v>
      </c>
      <c r="Q532" s="34">
        <v>28661891.91</v>
      </c>
      <c r="R532" s="31">
        <v>3818693.55</v>
      </c>
      <c r="S532" s="31">
        <v>537964527.11000001</v>
      </c>
      <c r="T532" s="31">
        <v>10201441.84</v>
      </c>
      <c r="U532" s="31">
        <v>66092</v>
      </c>
      <c r="V532" s="31">
        <v>122149.24</v>
      </c>
      <c r="W532" s="31">
        <v>0</v>
      </c>
      <c r="X532" s="34">
        <v>0</v>
      </c>
      <c r="Y532" s="31">
        <v>916082591.84000003</v>
      </c>
    </row>
    <row r="533" spans="1:25" s="27" customFormat="1" ht="12.45" x14ac:dyDescent="0.3">
      <c r="A533" s="30">
        <v>41000</v>
      </c>
      <c r="B533" s="19">
        <f t="shared" si="8"/>
        <v>19084</v>
      </c>
      <c r="C533" s="31">
        <v>119846497.56</v>
      </c>
      <c r="D533" s="31">
        <v>258052644.56999999</v>
      </c>
      <c r="E533" s="31">
        <v>148651926.31999999</v>
      </c>
      <c r="F533" s="31">
        <v>54905347.609999999</v>
      </c>
      <c r="G533" s="31">
        <v>48575330.039999999</v>
      </c>
      <c r="H533" s="31">
        <v>5223650.93</v>
      </c>
      <c r="I533" s="31">
        <v>22693281.649999999</v>
      </c>
      <c r="J533" s="31">
        <v>1335777.8799999999</v>
      </c>
      <c r="K533" s="31">
        <v>28785171.629999999</v>
      </c>
      <c r="L533" s="31">
        <v>1209716.45</v>
      </c>
      <c r="M533" s="31">
        <v>5942134.4699999997</v>
      </c>
      <c r="N533" s="31">
        <v>4529123.7300000004</v>
      </c>
      <c r="O533" s="34">
        <v>18968552.57</v>
      </c>
      <c r="P533" s="34">
        <v>18446.77</v>
      </c>
      <c r="Q533" s="34">
        <v>28661891.91</v>
      </c>
      <c r="R533" s="31">
        <v>4601967.5599999996</v>
      </c>
      <c r="S533" s="31">
        <v>617909545.42999995</v>
      </c>
      <c r="T533" s="31">
        <v>16327248.439999999</v>
      </c>
      <c r="U533" s="32">
        <v>54510.97</v>
      </c>
      <c r="V533" s="31">
        <v>118817.16</v>
      </c>
      <c r="W533" s="31">
        <v>3020</v>
      </c>
      <c r="X533" s="34">
        <v>-390</v>
      </c>
      <c r="Y533" s="32">
        <v>1386414213.6500001</v>
      </c>
    </row>
    <row r="534" spans="1:25" s="27" customFormat="1" ht="12.45" x14ac:dyDescent="0.3">
      <c r="A534" s="30">
        <v>41030</v>
      </c>
      <c r="B534" s="19">
        <f t="shared" si="8"/>
        <v>19114</v>
      </c>
      <c r="C534" s="31">
        <v>35931059.770000003</v>
      </c>
      <c r="D534" s="31">
        <v>4642587.17</v>
      </c>
      <c r="E534" s="31">
        <v>5599064.0700000003</v>
      </c>
      <c r="F534" s="31">
        <v>8883567.3000000007</v>
      </c>
      <c r="G534" s="31">
        <v>54697520.950000003</v>
      </c>
      <c r="H534" s="31">
        <v>5479447.9400000004</v>
      </c>
      <c r="I534" s="31">
        <v>25915900.75</v>
      </c>
      <c r="J534" s="31">
        <v>1792051.59</v>
      </c>
      <c r="K534" s="31">
        <v>20427038.879999999</v>
      </c>
      <c r="L534" s="31">
        <v>1221878.26</v>
      </c>
      <c r="M534" s="31">
        <v>5440229.6200000001</v>
      </c>
      <c r="N534" s="31">
        <v>44912061.68</v>
      </c>
      <c r="O534" s="34">
        <v>47632379.030000001</v>
      </c>
      <c r="P534" s="34">
        <v>162731.28</v>
      </c>
      <c r="Q534" s="34">
        <v>28661891.91</v>
      </c>
      <c r="R534" s="31">
        <v>4294239.12</v>
      </c>
      <c r="S534" s="31">
        <v>562471680.58000004</v>
      </c>
      <c r="T534" s="31">
        <v>12777398.07</v>
      </c>
      <c r="U534" s="32">
        <v>77261.77</v>
      </c>
      <c r="V534" s="31">
        <v>110119.51</v>
      </c>
      <c r="W534" s="31">
        <v>2590.2600000000002</v>
      </c>
      <c r="X534" s="34">
        <v>0</v>
      </c>
      <c r="Y534" s="32">
        <v>871132699.50999999</v>
      </c>
    </row>
    <row r="535" spans="1:25" s="27" customFormat="1" ht="12.45" x14ac:dyDescent="0.3">
      <c r="A535" s="30">
        <v>41061</v>
      </c>
      <c r="B535" s="19">
        <f t="shared" si="8"/>
        <v>19145</v>
      </c>
      <c r="C535" s="31">
        <v>138177329.75</v>
      </c>
      <c r="D535" s="31">
        <v>236178010.77000001</v>
      </c>
      <c r="E535" s="31">
        <v>1846017.09</v>
      </c>
      <c r="F535" s="31">
        <v>13061228.619999999</v>
      </c>
      <c r="G535" s="31">
        <v>54313345.759999998</v>
      </c>
      <c r="H535" s="31">
        <v>5506627.7800000003</v>
      </c>
      <c r="I535" s="31">
        <v>22851755.960000001</v>
      </c>
      <c r="J535" s="31">
        <v>1788729.63</v>
      </c>
      <c r="K535" s="31">
        <v>20744112.010000002</v>
      </c>
      <c r="L535" s="31">
        <v>984252.63</v>
      </c>
      <c r="M535" s="31">
        <v>5608695.3700000001</v>
      </c>
      <c r="N535" s="31">
        <v>10675992.189999999</v>
      </c>
      <c r="O535" s="34">
        <v>60190683.609999999</v>
      </c>
      <c r="P535" s="34">
        <v>18992.939999999999</v>
      </c>
      <c r="Q535" s="34">
        <v>28661891.91</v>
      </c>
      <c r="R535" s="31">
        <v>4789285.5999999996</v>
      </c>
      <c r="S535" s="31">
        <v>589616339.15999997</v>
      </c>
      <c r="T535" s="31">
        <v>12503374.630000001</v>
      </c>
      <c r="U535" s="32">
        <v>65120.03</v>
      </c>
      <c r="V535" s="31">
        <v>98147</v>
      </c>
      <c r="W535" s="31">
        <v>48438.23</v>
      </c>
      <c r="X535" s="34">
        <v>0</v>
      </c>
      <c r="Y535" s="32">
        <v>1207728370.6700001</v>
      </c>
    </row>
    <row r="536" spans="1:25" s="27" customFormat="1" ht="12.45" x14ac:dyDescent="0.3">
      <c r="A536" s="30">
        <v>41091</v>
      </c>
      <c r="B536" s="19">
        <f t="shared" si="8"/>
        <v>19175</v>
      </c>
      <c r="C536" s="31">
        <v>13457513.4</v>
      </c>
      <c r="D536" s="31">
        <v>41279420.350000001</v>
      </c>
      <c r="E536" s="31">
        <v>1001365.6</v>
      </c>
      <c r="F536" s="31">
        <v>6653807.3099999996</v>
      </c>
      <c r="G536" s="31">
        <v>55036136.310000002</v>
      </c>
      <c r="H536" s="31">
        <v>5542864.1100000003</v>
      </c>
      <c r="I536" s="31">
        <v>23351002.699999999</v>
      </c>
      <c r="J536" s="31">
        <v>1572269.12</v>
      </c>
      <c r="K536" s="31">
        <v>20169742.789999999</v>
      </c>
      <c r="L536" s="31">
        <v>975182.16</v>
      </c>
      <c r="M536" s="31">
        <v>6137327.7300000004</v>
      </c>
      <c r="N536" s="31">
        <v>4131297.64</v>
      </c>
      <c r="O536" s="34">
        <v>22187800.91</v>
      </c>
      <c r="P536" s="34">
        <v>15139771.49</v>
      </c>
      <c r="Q536" s="34">
        <v>28661891.91</v>
      </c>
      <c r="R536" s="31">
        <v>4809744.59</v>
      </c>
      <c r="S536" s="31">
        <v>613858234.00999999</v>
      </c>
      <c r="T536" s="31">
        <v>16621437.380000001</v>
      </c>
      <c r="U536" s="32">
        <v>80347.48</v>
      </c>
      <c r="V536" s="31">
        <v>117180.69</v>
      </c>
      <c r="W536" s="31">
        <v>132155.13</v>
      </c>
      <c r="X536" s="34">
        <v>2.68</v>
      </c>
      <c r="Y536" s="31">
        <v>880916495.49000001</v>
      </c>
    </row>
    <row r="537" spans="1:25" s="27" customFormat="1" ht="12.45" x14ac:dyDescent="0.3">
      <c r="A537" s="30">
        <v>41122</v>
      </c>
      <c r="B537" s="19">
        <f t="shared" si="8"/>
        <v>19206</v>
      </c>
      <c r="C537" s="31">
        <v>19915688.199999999</v>
      </c>
      <c r="D537" s="31">
        <v>15527884.800000001</v>
      </c>
      <c r="E537" s="31">
        <v>1080962.3</v>
      </c>
      <c r="F537" s="31">
        <v>12179646.449999999</v>
      </c>
      <c r="G537" s="31">
        <v>52030829.030000001</v>
      </c>
      <c r="H537" s="31">
        <v>5310810.2699999996</v>
      </c>
      <c r="I537" s="31">
        <v>24770339.440000001</v>
      </c>
      <c r="J537" s="31">
        <v>1473987.98</v>
      </c>
      <c r="K537" s="31">
        <v>20653506</v>
      </c>
      <c r="L537" s="31">
        <v>1032763.27</v>
      </c>
      <c r="M537" s="31">
        <v>5406431.4500000002</v>
      </c>
      <c r="N537" s="31">
        <v>17340441.32</v>
      </c>
      <c r="O537" s="34">
        <v>15828507.890000001</v>
      </c>
      <c r="P537" s="34">
        <v>11240298.699999999</v>
      </c>
      <c r="Q537" s="34">
        <v>28661891.91</v>
      </c>
      <c r="R537" s="31">
        <v>3689906.11</v>
      </c>
      <c r="S537" s="31">
        <v>568718971.88</v>
      </c>
      <c r="T537" s="31">
        <v>9751459.9800000004</v>
      </c>
      <c r="U537" s="31">
        <v>69335</v>
      </c>
      <c r="V537" s="31">
        <v>90341.01</v>
      </c>
      <c r="W537" s="31">
        <v>25755.13</v>
      </c>
      <c r="X537" s="34">
        <v>0</v>
      </c>
      <c r="Y537" s="31">
        <v>814799758.12</v>
      </c>
    </row>
    <row r="538" spans="1:25" s="27" customFormat="1" ht="12.45" x14ac:dyDescent="0.3">
      <c r="A538" s="30">
        <v>41153</v>
      </c>
      <c r="B538" s="19">
        <f t="shared" si="8"/>
        <v>19237</v>
      </c>
      <c r="C538" s="31">
        <v>122187558.98999999</v>
      </c>
      <c r="D538" s="31">
        <v>186956757.84999999</v>
      </c>
      <c r="E538" s="31">
        <v>1784161.42</v>
      </c>
      <c r="F538" s="31">
        <v>7373328.6699999999</v>
      </c>
      <c r="G538" s="31">
        <v>51938330.969999999</v>
      </c>
      <c r="H538" s="31">
        <v>5464038.4500000002</v>
      </c>
      <c r="I538" s="31">
        <v>22726164.640000001</v>
      </c>
      <c r="J538" s="31">
        <v>1672690.94</v>
      </c>
      <c r="K538" s="31">
        <v>19083145.84</v>
      </c>
      <c r="L538" s="31">
        <v>890240.21</v>
      </c>
      <c r="M538" s="31">
        <v>5550782.04</v>
      </c>
      <c r="N538" s="31">
        <v>9409281.7599999998</v>
      </c>
      <c r="O538" s="34">
        <v>20676227.170000002</v>
      </c>
      <c r="P538" s="34">
        <v>154612.03</v>
      </c>
      <c r="Q538" s="34">
        <v>35749687.990000002</v>
      </c>
      <c r="R538" s="31">
        <v>4475807.93</v>
      </c>
      <c r="S538" s="31">
        <v>570755375.49000001</v>
      </c>
      <c r="T538" s="31">
        <v>11075450.960000001</v>
      </c>
      <c r="U538" s="31">
        <v>67691</v>
      </c>
      <c r="V538" s="31">
        <v>118002.54</v>
      </c>
      <c r="W538" s="31">
        <v>1720</v>
      </c>
      <c r="X538" s="34">
        <v>0</v>
      </c>
      <c r="Y538" s="31">
        <v>1078111056.8900001</v>
      </c>
    </row>
    <row r="539" spans="1:25" s="27" customFormat="1" x14ac:dyDescent="0.3">
      <c r="A539" s="18">
        <v>41194</v>
      </c>
      <c r="B539" s="27">
        <f t="shared" si="8"/>
        <v>19278</v>
      </c>
      <c r="C539" s="28">
        <v>36405496.539999999</v>
      </c>
      <c r="D539" s="28">
        <v>28733604.289999999</v>
      </c>
      <c r="E539" s="28">
        <v>4119708.53</v>
      </c>
      <c r="F539" s="28">
        <v>8916454.3900000006</v>
      </c>
      <c r="G539" s="28">
        <v>52044496.5</v>
      </c>
      <c r="H539" s="28">
        <v>5255782.76</v>
      </c>
      <c r="I539" s="28">
        <v>22842252.82</v>
      </c>
      <c r="J539" s="28">
        <v>1556371.54</v>
      </c>
      <c r="K539" s="28">
        <v>19142176.879999999</v>
      </c>
      <c r="L539" s="28">
        <v>945716.01</v>
      </c>
      <c r="M539" s="28">
        <v>5515520.4900000002</v>
      </c>
      <c r="N539" s="28">
        <v>5504045.3600000003</v>
      </c>
      <c r="O539" s="34">
        <v>20052298.390000001</v>
      </c>
      <c r="P539" s="34">
        <v>235881.21</v>
      </c>
      <c r="Q539" s="34">
        <v>27297241.25</v>
      </c>
      <c r="R539" s="28">
        <v>3726391.72</v>
      </c>
      <c r="S539" s="28">
        <v>575340846.38</v>
      </c>
      <c r="T539" s="28">
        <v>18858247.780000001</v>
      </c>
      <c r="U539" s="28">
        <v>80164.92</v>
      </c>
      <c r="V539" s="28">
        <v>142533.82</v>
      </c>
      <c r="W539" s="28">
        <v>25587.45</v>
      </c>
      <c r="X539" s="34">
        <v>0</v>
      </c>
      <c r="Y539" s="28">
        <f>SUM(C539:W539)</f>
        <v>836740819.02999997</v>
      </c>
    </row>
    <row r="540" spans="1:25" s="27" customFormat="1" x14ac:dyDescent="0.3">
      <c r="A540" s="18">
        <v>41214</v>
      </c>
      <c r="B540" s="27">
        <f t="shared" si="8"/>
        <v>19298</v>
      </c>
      <c r="C540" s="28">
        <v>15212156.220000001</v>
      </c>
      <c r="D540" s="28">
        <v>11317389.73</v>
      </c>
      <c r="E540" s="28">
        <v>1009170.2</v>
      </c>
      <c r="F540" s="28">
        <v>4712216.04</v>
      </c>
      <c r="G540" s="28">
        <v>52433455.770000003</v>
      </c>
      <c r="H540" s="28">
        <v>5457392.4100000001</v>
      </c>
      <c r="I540" s="28">
        <v>23971055.43</v>
      </c>
      <c r="J540" s="28">
        <v>1408953.13</v>
      </c>
      <c r="K540" s="28">
        <v>17648590.949999999</v>
      </c>
      <c r="L540" s="28">
        <v>800146.75</v>
      </c>
      <c r="M540" s="28">
        <v>5721497.7000000002</v>
      </c>
      <c r="N540" s="28">
        <v>5248888.3</v>
      </c>
      <c r="O540" s="34">
        <v>19592420.93</v>
      </c>
      <c r="P540" s="34">
        <v>182416.04</v>
      </c>
      <c r="Q540" s="34">
        <v>27297241.25</v>
      </c>
      <c r="R540" s="28">
        <v>4280363.33</v>
      </c>
      <c r="S540" s="28">
        <v>557322909.10000002</v>
      </c>
      <c r="T540" s="28">
        <v>14425967.699999999</v>
      </c>
      <c r="U540" s="28">
        <v>65137</v>
      </c>
      <c r="V540" s="28">
        <v>134916.65</v>
      </c>
      <c r="W540" s="28">
        <v>3395.13</v>
      </c>
      <c r="X540" s="34">
        <v>0</v>
      </c>
      <c r="Y540" s="28">
        <f>SUM(C540:W540)</f>
        <v>768245679.76000011</v>
      </c>
    </row>
    <row r="541" spans="1:25" s="27" customFormat="1" x14ac:dyDescent="0.3">
      <c r="A541" s="18">
        <v>41244</v>
      </c>
      <c r="B541" s="27">
        <f t="shared" si="8"/>
        <v>19328</v>
      </c>
      <c r="C541" s="28">
        <v>93597820.439999998</v>
      </c>
      <c r="D541" s="28">
        <v>149415794.59</v>
      </c>
      <c r="E541" s="28">
        <v>5344719.66</v>
      </c>
      <c r="F541" s="28">
        <v>6386517.6600000001</v>
      </c>
      <c r="G541" s="28">
        <v>47595301.520000003</v>
      </c>
      <c r="H541" s="28">
        <v>4898296.04</v>
      </c>
      <c r="I541" s="28">
        <v>22733757.960000001</v>
      </c>
      <c r="J541" s="28">
        <v>1342341.82</v>
      </c>
      <c r="K541" s="28">
        <v>16248501.16</v>
      </c>
      <c r="L541" s="28">
        <v>781406.26</v>
      </c>
      <c r="M541" s="28">
        <v>5369877.2000000002</v>
      </c>
      <c r="N541" s="28">
        <v>4685820.29</v>
      </c>
      <c r="O541" s="34">
        <v>18241284.789999999</v>
      </c>
      <c r="P541" s="34">
        <v>-703560.52</v>
      </c>
      <c r="Q541" s="34">
        <v>27297241.25</v>
      </c>
      <c r="R541" s="28">
        <v>5139879.53</v>
      </c>
      <c r="S541" s="28">
        <v>563391826.53999996</v>
      </c>
      <c r="T541" s="28">
        <v>10250863.539999999</v>
      </c>
      <c r="U541" s="28">
        <v>59211.5</v>
      </c>
      <c r="V541" s="28">
        <v>122588.89</v>
      </c>
      <c r="W541" s="28">
        <v>745.13</v>
      </c>
      <c r="X541" s="34">
        <v>0</v>
      </c>
      <c r="Y541" s="28">
        <f>SUM(C541:W541)</f>
        <v>982200235.25</v>
      </c>
    </row>
    <row r="542" spans="1:25" s="27" customFormat="1" x14ac:dyDescent="0.3">
      <c r="A542" s="18">
        <v>41287</v>
      </c>
      <c r="B542" s="27">
        <f t="shared" si="8"/>
        <v>19371</v>
      </c>
      <c r="C542" s="29">
        <v>59884826.68</v>
      </c>
      <c r="D542" s="28">
        <v>112264466.13</v>
      </c>
      <c r="E542" s="28">
        <v>5837409.3799999999</v>
      </c>
      <c r="F542" s="28">
        <v>8523095.2599999998</v>
      </c>
      <c r="G542" s="28">
        <v>53283775.380000003</v>
      </c>
      <c r="H542" s="28">
        <v>5278433.2300000004</v>
      </c>
      <c r="I542" s="28">
        <v>18317326.309999999</v>
      </c>
      <c r="J542" s="28">
        <v>1506726.77</v>
      </c>
      <c r="K542" s="33">
        <v>20674257.199999999</v>
      </c>
      <c r="L542" s="28">
        <v>940734.85</v>
      </c>
      <c r="M542" s="28">
        <v>6319240.5</v>
      </c>
      <c r="N542" s="28">
        <v>2324242.64</v>
      </c>
      <c r="O542" s="34">
        <v>23020626.010000002</v>
      </c>
      <c r="P542" s="34">
        <v>-69770.67</v>
      </c>
      <c r="Q542" s="34">
        <v>27297241.25</v>
      </c>
      <c r="R542" s="28">
        <v>5938779.79</v>
      </c>
      <c r="S542" s="28">
        <v>708092043.60000002</v>
      </c>
      <c r="T542" s="28">
        <v>14220548.32</v>
      </c>
      <c r="U542" s="28">
        <v>92474.05</v>
      </c>
      <c r="V542" s="28">
        <v>125866.13</v>
      </c>
      <c r="W542" s="28">
        <v>26383.15</v>
      </c>
      <c r="X542" s="34">
        <v>4487.55</v>
      </c>
      <c r="Y542" s="29">
        <f t="shared" ref="Y542:Y605" si="9">SUM(C542:X542)</f>
        <v>1073903213.5100002</v>
      </c>
    </row>
    <row r="543" spans="1:25" s="27" customFormat="1" x14ac:dyDescent="0.3">
      <c r="A543" s="18">
        <v>41318</v>
      </c>
      <c r="B543" s="27">
        <f t="shared" si="8"/>
        <v>19402</v>
      </c>
      <c r="C543" s="28">
        <v>9176568.2799999993</v>
      </c>
      <c r="D543" s="28">
        <v>28768397.07</v>
      </c>
      <c r="E543" s="28">
        <v>2171692.4300000002</v>
      </c>
      <c r="F543" s="28">
        <v>8678369</v>
      </c>
      <c r="G543" s="28">
        <v>48267604.600000001</v>
      </c>
      <c r="H543" s="28">
        <v>4968184.1900000004</v>
      </c>
      <c r="I543" s="28">
        <v>24095696.579999998</v>
      </c>
      <c r="J543" s="28">
        <v>1549787.04</v>
      </c>
      <c r="K543" s="28">
        <v>22204205.829999998</v>
      </c>
      <c r="L543" s="28">
        <v>935578.65</v>
      </c>
      <c r="M543" s="28">
        <v>5132792.04</v>
      </c>
      <c r="N543" s="28">
        <v>16670956.59</v>
      </c>
      <c r="O543" s="34">
        <v>15315978.130000001</v>
      </c>
      <c r="P543" s="34">
        <v>116303.38</v>
      </c>
      <c r="Q543" s="34">
        <v>27297241.25</v>
      </c>
      <c r="R543" s="28">
        <v>3245796.61</v>
      </c>
      <c r="S543" s="28">
        <v>514021484.82999998</v>
      </c>
      <c r="T543" s="28">
        <v>11417777.18</v>
      </c>
      <c r="U543" s="28">
        <v>70773.17</v>
      </c>
      <c r="V543" s="28">
        <v>152635.03</v>
      </c>
      <c r="W543" s="28">
        <v>14526.03</v>
      </c>
      <c r="X543" s="34">
        <v>0</v>
      </c>
      <c r="Y543" s="29">
        <f t="shared" si="9"/>
        <v>744272347.90999985</v>
      </c>
    </row>
    <row r="544" spans="1:25" s="27" customFormat="1" x14ac:dyDescent="0.3">
      <c r="A544" s="18">
        <v>41346</v>
      </c>
      <c r="B544" s="27">
        <f t="shared" si="8"/>
        <v>19430</v>
      </c>
      <c r="C544" s="28">
        <v>74467584.700000003</v>
      </c>
      <c r="D544" s="28">
        <v>137074205.22</v>
      </c>
      <c r="E544" s="28">
        <v>13215509.310000001</v>
      </c>
      <c r="F544" s="28">
        <v>10192718.24</v>
      </c>
      <c r="G544" s="28">
        <v>42012637.850000001</v>
      </c>
      <c r="H544" s="28">
        <v>4425654.72</v>
      </c>
      <c r="I544" s="28">
        <v>18735666.879999999</v>
      </c>
      <c r="J544" s="28">
        <v>1269421.8799999999</v>
      </c>
      <c r="K544" s="28">
        <v>26612582.829999998</v>
      </c>
      <c r="L544" s="28">
        <v>1028072</v>
      </c>
      <c r="M544" s="28">
        <v>5594874.0700000003</v>
      </c>
      <c r="N544" s="28">
        <v>5394469.8200000003</v>
      </c>
      <c r="O544" s="34">
        <v>15182730.18</v>
      </c>
      <c r="P544" s="34">
        <v>56413.7</v>
      </c>
      <c r="Q544" s="34">
        <v>27297241.25</v>
      </c>
      <c r="R544" s="28">
        <v>3901141.85</v>
      </c>
      <c r="S544" s="28">
        <v>538531912.29999995</v>
      </c>
      <c r="T544" s="28">
        <v>10896718.83</v>
      </c>
      <c r="U544" s="28">
        <v>83756.320000000007</v>
      </c>
      <c r="V544" s="28">
        <v>126705.82</v>
      </c>
      <c r="W544" s="22">
        <v>1805.13</v>
      </c>
      <c r="X544" s="34">
        <v>0</v>
      </c>
      <c r="Y544" s="29">
        <f t="shared" si="9"/>
        <v>936101822.9000001</v>
      </c>
    </row>
    <row r="545" spans="1:29" s="27" customFormat="1" x14ac:dyDescent="0.3">
      <c r="A545" s="18">
        <v>41365</v>
      </c>
      <c r="B545" s="27">
        <f t="shared" si="8"/>
        <v>19449</v>
      </c>
      <c r="C545" s="28">
        <v>169038048.03</v>
      </c>
      <c r="D545" s="28">
        <v>303041485.94999999</v>
      </c>
      <c r="E545" s="28">
        <v>221380974.37</v>
      </c>
      <c r="F545" s="28">
        <v>5196565.2699999996</v>
      </c>
      <c r="G545" s="28">
        <v>54182495.780000001</v>
      </c>
      <c r="H545" s="28">
        <v>5460127.8399999999</v>
      </c>
      <c r="I545" s="28">
        <v>26161488.890000001</v>
      </c>
      <c r="J545" s="28">
        <v>1413717.85</v>
      </c>
      <c r="K545" s="28">
        <v>29894851.940000001</v>
      </c>
      <c r="L545" s="28">
        <v>1132724.26</v>
      </c>
      <c r="M545" s="28">
        <v>6550042.5199999996</v>
      </c>
      <c r="N545" s="28">
        <v>4453880.37</v>
      </c>
      <c r="O545" s="34">
        <v>26635721.329999998</v>
      </c>
      <c r="P545" s="34">
        <v>52572.94</v>
      </c>
      <c r="Q545" s="34">
        <v>27297241.25</v>
      </c>
      <c r="R545" s="28">
        <v>4599140.1399999997</v>
      </c>
      <c r="S545" s="28">
        <v>613603724.49000001</v>
      </c>
      <c r="T545" s="28">
        <v>15176230.859999999</v>
      </c>
      <c r="U545" s="28">
        <v>100615.08</v>
      </c>
      <c r="V545" s="28">
        <v>130097.79</v>
      </c>
      <c r="W545" s="22">
        <v>26156.080000000002</v>
      </c>
      <c r="X545" s="34">
        <v>0.4</v>
      </c>
      <c r="Y545" s="29">
        <f t="shared" si="9"/>
        <v>1515527903.4300001</v>
      </c>
    </row>
    <row r="546" spans="1:29" x14ac:dyDescent="0.3">
      <c r="A546" s="15">
        <v>41395</v>
      </c>
      <c r="B546" s="6">
        <f t="shared" si="8"/>
        <v>19479</v>
      </c>
      <c r="C546" s="34">
        <v>18654152.254000001</v>
      </c>
      <c r="D546" s="34">
        <v>26617033.186000001</v>
      </c>
      <c r="E546" s="34">
        <v>4038408.9</v>
      </c>
      <c r="F546" s="34">
        <v>22473952.739999998</v>
      </c>
      <c r="G546" s="34">
        <v>51061514.640000001</v>
      </c>
      <c r="H546" s="34">
        <v>5222257.1399999997</v>
      </c>
      <c r="I546" s="34">
        <v>21325172.699999999</v>
      </c>
      <c r="J546" s="34">
        <v>1524871.69</v>
      </c>
      <c r="K546" s="34">
        <v>21346492.390000001</v>
      </c>
      <c r="L546" s="34">
        <v>1011353.13</v>
      </c>
      <c r="M546" s="34">
        <v>6429724.2400000002</v>
      </c>
      <c r="N546" s="34">
        <v>47434802.270000003</v>
      </c>
      <c r="O546" s="34">
        <v>49597402.539999999</v>
      </c>
      <c r="P546" s="34">
        <v>195215.85</v>
      </c>
      <c r="Q546" s="34">
        <v>27297241.25</v>
      </c>
      <c r="R546" s="34">
        <v>4711446.93</v>
      </c>
      <c r="S546" s="34">
        <v>584794950.87</v>
      </c>
      <c r="T546" s="34">
        <v>11374548.369999999</v>
      </c>
      <c r="U546" s="34">
        <v>84472.86</v>
      </c>
      <c r="V546" s="34">
        <v>111866.34</v>
      </c>
      <c r="W546" s="14">
        <v>13353.58</v>
      </c>
      <c r="X546" s="34">
        <v>0</v>
      </c>
      <c r="Y546" s="29">
        <f t="shared" si="9"/>
        <v>905320233.87000012</v>
      </c>
    </row>
    <row r="547" spans="1:29" x14ac:dyDescent="0.3">
      <c r="A547" s="15">
        <v>41426</v>
      </c>
      <c r="B547" s="6">
        <f t="shared" si="8"/>
        <v>19510</v>
      </c>
      <c r="C547" s="34">
        <v>126053253.36649999</v>
      </c>
      <c r="D547" s="34">
        <v>215177019.0535</v>
      </c>
      <c r="E547" s="34">
        <v>1857765.48</v>
      </c>
      <c r="F547" s="34">
        <v>12904736.220000001</v>
      </c>
      <c r="G547" s="34">
        <v>54029782.32</v>
      </c>
      <c r="H547" s="34">
        <v>5511316.9500000002</v>
      </c>
      <c r="I547" s="34">
        <v>25440719.670000002</v>
      </c>
      <c r="J547" s="34">
        <v>1689382.18</v>
      </c>
      <c r="K547" s="34">
        <v>20951102</v>
      </c>
      <c r="L547" s="34">
        <v>1081839.7</v>
      </c>
      <c r="M547" s="34">
        <v>6335673.8899999997</v>
      </c>
      <c r="N547" s="34">
        <v>13133827.029999999</v>
      </c>
      <c r="O547" s="34">
        <v>58816134.210000001</v>
      </c>
      <c r="P547" s="34">
        <v>34716.629999999997</v>
      </c>
      <c r="Q547" s="34">
        <v>27297241.25</v>
      </c>
      <c r="R547" s="34">
        <v>4824913.82</v>
      </c>
      <c r="S547" s="34">
        <v>596579749.53999996</v>
      </c>
      <c r="T547" s="34">
        <v>14218993.93</v>
      </c>
      <c r="U547" s="34">
        <v>117132.14</v>
      </c>
      <c r="V547" s="34">
        <v>158218.78</v>
      </c>
      <c r="W547" s="14">
        <v>42639.87</v>
      </c>
      <c r="X547" s="34">
        <v>0</v>
      </c>
      <c r="Y547" s="29">
        <f t="shared" si="9"/>
        <v>1186256158.03</v>
      </c>
    </row>
    <row r="548" spans="1:29" x14ac:dyDescent="0.3">
      <c r="A548" s="15">
        <v>41456</v>
      </c>
      <c r="B548" s="6">
        <f t="shared" si="8"/>
        <v>19540</v>
      </c>
      <c r="C548" s="34">
        <v>3269704.0599999987</v>
      </c>
      <c r="D548" s="34">
        <v>63259051.409999996</v>
      </c>
      <c r="E548" s="34">
        <v>1396360.02</v>
      </c>
      <c r="F548" s="34">
        <v>10017385.16</v>
      </c>
      <c r="G548" s="34">
        <v>57417431.899999999</v>
      </c>
      <c r="H548" s="34">
        <v>5693139.75</v>
      </c>
      <c r="I548" s="34">
        <v>25984898.48</v>
      </c>
      <c r="J548" s="34">
        <v>1481434.02</v>
      </c>
      <c r="K548" s="34">
        <v>21134606.809999999</v>
      </c>
      <c r="L548" s="34">
        <v>1333050.45</v>
      </c>
      <c r="M548" s="34">
        <v>6326987.96</v>
      </c>
      <c r="N548" s="34">
        <v>4589174.58</v>
      </c>
      <c r="O548" s="34">
        <v>21377181.100000001</v>
      </c>
      <c r="P548" s="34">
        <v>14102928.140000001</v>
      </c>
      <c r="Q548" s="34">
        <v>27297241.25</v>
      </c>
      <c r="R548" s="34">
        <v>4735260.5199999996</v>
      </c>
      <c r="S548" s="34">
        <v>634841866.92999995</v>
      </c>
      <c r="T548" s="34">
        <v>15268529.439999999</v>
      </c>
      <c r="U548" s="34">
        <v>59193.02</v>
      </c>
      <c r="V548" s="34">
        <v>132764.46</v>
      </c>
      <c r="W548" s="14">
        <v>108653.98</v>
      </c>
      <c r="X548" s="34">
        <v>0</v>
      </c>
      <c r="Y548" s="29">
        <f t="shared" si="9"/>
        <v>919826843.44000006</v>
      </c>
      <c r="AA548" s="34"/>
      <c r="AC548" s="34"/>
    </row>
    <row r="549" spans="1:29" x14ac:dyDescent="0.3">
      <c r="A549" s="15">
        <v>41487</v>
      </c>
      <c r="B549" s="6">
        <f t="shared" si="8"/>
        <v>19571</v>
      </c>
      <c r="C549" s="34">
        <v>14062658.371000003</v>
      </c>
      <c r="D549" s="34">
        <v>17592664.159000002</v>
      </c>
      <c r="E549" s="34">
        <v>1149517.95</v>
      </c>
      <c r="F549" s="34">
        <v>8666458.9800000004</v>
      </c>
      <c r="G549" s="34">
        <v>50649023.719999999</v>
      </c>
      <c r="H549" s="34">
        <v>5181535.83</v>
      </c>
      <c r="I549" s="34">
        <v>23308217.170000002</v>
      </c>
      <c r="J549" s="34">
        <v>1617649.66</v>
      </c>
      <c r="K549" s="34">
        <v>22224434.5</v>
      </c>
      <c r="L549" s="34">
        <v>1109762.8400000001</v>
      </c>
      <c r="M549" s="34">
        <v>5469429.1399999997</v>
      </c>
      <c r="N549" s="34">
        <v>18673683.620000001</v>
      </c>
      <c r="O549" s="34">
        <v>24258201.539999999</v>
      </c>
      <c r="P549" s="34">
        <v>11822967.34</v>
      </c>
      <c r="Q549" s="34">
        <v>27297241.25</v>
      </c>
      <c r="R549" s="34">
        <v>4164408.06</v>
      </c>
      <c r="S549" s="34">
        <v>590044887.30999994</v>
      </c>
      <c r="T549" s="34">
        <v>11320009.970000001</v>
      </c>
      <c r="U549" s="34">
        <v>106853</v>
      </c>
      <c r="V549" s="34">
        <v>137390.12</v>
      </c>
      <c r="W549" s="14">
        <v>64925.46</v>
      </c>
      <c r="X549" s="34">
        <v>0</v>
      </c>
      <c r="Y549" s="29">
        <f t="shared" si="9"/>
        <v>838921919.99000001</v>
      </c>
      <c r="AA549" s="34"/>
      <c r="AC549" s="34"/>
    </row>
    <row r="550" spans="1:29" x14ac:dyDescent="0.3">
      <c r="A550" s="15">
        <v>41518</v>
      </c>
      <c r="B550" s="6">
        <f t="shared" si="8"/>
        <v>19602</v>
      </c>
      <c r="C550" s="34">
        <v>91130835.173000008</v>
      </c>
      <c r="D550" s="34">
        <v>185953434.697</v>
      </c>
      <c r="E550" s="34">
        <v>1533189.16</v>
      </c>
      <c r="F550" s="34">
        <v>12150834.220000001</v>
      </c>
      <c r="G550" s="34">
        <v>52517280.270000003</v>
      </c>
      <c r="H550" s="34">
        <v>5438976.1200000001</v>
      </c>
      <c r="I550" s="34">
        <v>21595435.440000001</v>
      </c>
      <c r="J550" s="34">
        <v>1580481.77</v>
      </c>
      <c r="K550" s="34">
        <v>19654987.289999999</v>
      </c>
      <c r="L550" s="34">
        <v>1011262.9</v>
      </c>
      <c r="M550" s="34">
        <v>6296300.5099999998</v>
      </c>
      <c r="N550" s="34">
        <v>9937143.4000000004</v>
      </c>
      <c r="O550" s="34">
        <v>19676704.859999999</v>
      </c>
      <c r="P550" s="34">
        <v>209191.11</v>
      </c>
      <c r="Q550" s="34">
        <v>34051180.25</v>
      </c>
      <c r="R550" s="34">
        <v>4497343.18</v>
      </c>
      <c r="S550" s="34">
        <v>590714852.96000004</v>
      </c>
      <c r="T550" s="34">
        <v>13825132.640000001</v>
      </c>
      <c r="U550" s="34">
        <v>88510</v>
      </c>
      <c r="V550" s="34">
        <v>127449.19</v>
      </c>
      <c r="W550" s="14">
        <v>15096.28</v>
      </c>
      <c r="X550" s="34">
        <v>0</v>
      </c>
      <c r="Y550" s="29">
        <f t="shared" si="9"/>
        <v>1072005621.4200001</v>
      </c>
      <c r="AA550" s="34"/>
      <c r="AC550" s="34"/>
    </row>
    <row r="551" spans="1:29" x14ac:dyDescent="0.3">
      <c r="A551" s="15">
        <v>41548</v>
      </c>
      <c r="B551" s="6">
        <f t="shared" si="8"/>
        <v>19632</v>
      </c>
      <c r="C551" s="34">
        <v>25381742.107500017</v>
      </c>
      <c r="D551" s="34">
        <v>17846709.172500014</v>
      </c>
      <c r="E551" s="34">
        <v>2751307.47</v>
      </c>
      <c r="F551" s="34">
        <v>11113542.300000001</v>
      </c>
      <c r="G551" s="34">
        <v>47598595.619999997</v>
      </c>
      <c r="H551" s="34">
        <v>4973989</v>
      </c>
      <c r="I551" s="34">
        <v>23158145.760000002</v>
      </c>
      <c r="J551" s="34">
        <v>1416379.84</v>
      </c>
      <c r="K551" s="34">
        <v>19982411.739999998</v>
      </c>
      <c r="L551" s="34">
        <v>1045182.14</v>
      </c>
      <c r="M551" s="34">
        <v>5945766.3200000003</v>
      </c>
      <c r="N551" s="34">
        <v>2814132.51</v>
      </c>
      <c r="O551" s="34">
        <v>24475735.960000001</v>
      </c>
      <c r="P551" s="34">
        <v>-102912.66</v>
      </c>
      <c r="Q551" s="34">
        <v>27075597.41</v>
      </c>
      <c r="R551" s="34">
        <v>3899246.79</v>
      </c>
      <c r="S551" s="34">
        <v>592089008.12</v>
      </c>
      <c r="T551" s="34">
        <v>15340223.83</v>
      </c>
      <c r="U551" s="34">
        <v>104443.25</v>
      </c>
      <c r="V551" s="34">
        <v>132742.34</v>
      </c>
      <c r="W551" s="14">
        <v>8645.1299999999992</v>
      </c>
      <c r="X551" s="34">
        <v>0</v>
      </c>
      <c r="Y551" s="29">
        <f t="shared" si="9"/>
        <v>827050634.1500001</v>
      </c>
      <c r="AA551" s="34"/>
      <c r="AC551" s="34"/>
    </row>
    <row r="552" spans="1:29" x14ac:dyDescent="0.3">
      <c r="A552" s="15">
        <v>41579</v>
      </c>
      <c r="B552" s="6">
        <f t="shared" si="8"/>
        <v>19663</v>
      </c>
      <c r="C552" s="35">
        <v>19620339.494000006</v>
      </c>
      <c r="D552" s="35">
        <v>15030971.396000005</v>
      </c>
      <c r="E552" s="34">
        <v>840764.4</v>
      </c>
      <c r="F552" s="34">
        <v>6536797.9100000001</v>
      </c>
      <c r="G552" s="34">
        <v>54434322.840000004</v>
      </c>
      <c r="H552" s="34">
        <v>5585134.1399999997</v>
      </c>
      <c r="I552" s="34">
        <v>21961734.420000002</v>
      </c>
      <c r="J552" s="34">
        <v>1485234.26</v>
      </c>
      <c r="K552" s="34">
        <v>17673042.43</v>
      </c>
      <c r="L552" s="34">
        <v>808739.5</v>
      </c>
      <c r="M552" s="34">
        <v>6249036.9900000002</v>
      </c>
      <c r="N552" s="34">
        <v>6048141.8899999997</v>
      </c>
      <c r="O552" s="34">
        <v>18946707.329999998</v>
      </c>
      <c r="P552" s="34">
        <v>-64383.040000000001</v>
      </c>
      <c r="Q552" s="34">
        <v>27075597.41</v>
      </c>
      <c r="R552" s="34">
        <v>4758928.01</v>
      </c>
      <c r="S552" s="34">
        <v>579425678.55999994</v>
      </c>
      <c r="T552" s="34">
        <v>12261106.41</v>
      </c>
      <c r="U552" s="34">
        <v>85938</v>
      </c>
      <c r="V552" s="34">
        <v>100155.02</v>
      </c>
      <c r="W552" s="14">
        <v>43084.71</v>
      </c>
      <c r="X552" s="34">
        <v>0</v>
      </c>
      <c r="Y552" s="29">
        <f t="shared" si="9"/>
        <v>798907072.07999992</v>
      </c>
      <c r="AA552" s="34"/>
      <c r="AC552" s="34"/>
    </row>
    <row r="553" spans="1:29" x14ac:dyDescent="0.3">
      <c r="A553" s="15">
        <v>41609</v>
      </c>
      <c r="B553" s="6">
        <f t="shared" si="8"/>
        <v>19693</v>
      </c>
      <c r="C553" s="34">
        <v>70439989.236499995</v>
      </c>
      <c r="D553" s="34">
        <v>129107473.21350001</v>
      </c>
      <c r="E553" s="34">
        <v>2493065.1</v>
      </c>
      <c r="F553" s="34">
        <v>10695699.779999999</v>
      </c>
      <c r="G553" s="34">
        <v>55610965.840000004</v>
      </c>
      <c r="H553" s="34">
        <v>5465923.2400000002</v>
      </c>
      <c r="I553" s="34">
        <v>21874985.710000001</v>
      </c>
      <c r="J553" s="34">
        <v>1357478.25</v>
      </c>
      <c r="K553" s="34">
        <v>15978536.41</v>
      </c>
      <c r="L553" s="34">
        <v>828161.05</v>
      </c>
      <c r="M553" s="34">
        <v>6054768.4299999997</v>
      </c>
      <c r="N553" s="34">
        <v>5645121.8700000001</v>
      </c>
      <c r="O553" s="34">
        <v>17817986.489999998</v>
      </c>
      <c r="P553" s="34">
        <v>573.88</v>
      </c>
      <c r="Q553" s="34">
        <v>27075597.41</v>
      </c>
      <c r="R553" s="34">
        <v>4993022.67</v>
      </c>
      <c r="S553" s="34">
        <v>577619590.53999996</v>
      </c>
      <c r="T553" s="34">
        <v>13304596.57</v>
      </c>
      <c r="U553" s="34">
        <v>103500</v>
      </c>
      <c r="V553" s="34">
        <v>101202.61</v>
      </c>
      <c r="W553" s="14">
        <v>2035.13</v>
      </c>
      <c r="X553" s="34">
        <v>0</v>
      </c>
      <c r="Y553" s="34">
        <v>966570273.42999995</v>
      </c>
      <c r="AA553" s="34"/>
      <c r="AC553" s="34"/>
    </row>
    <row r="554" spans="1:29" x14ac:dyDescent="0.3">
      <c r="A554" s="15">
        <v>41640</v>
      </c>
      <c r="B554" s="6">
        <f t="shared" si="8"/>
        <v>19724</v>
      </c>
      <c r="C554" s="34">
        <v>55538284.171999998</v>
      </c>
      <c r="D554" s="34">
        <v>84131912.588</v>
      </c>
      <c r="E554" s="34">
        <v>2912091.81</v>
      </c>
      <c r="F554" s="34">
        <v>7192029.29</v>
      </c>
      <c r="G554" s="34">
        <v>47533184.619999997</v>
      </c>
      <c r="H554" s="34">
        <v>4943047.8099999996</v>
      </c>
      <c r="I554" s="34">
        <v>17635878.690000001</v>
      </c>
      <c r="J554" s="34">
        <v>1282019.25</v>
      </c>
      <c r="K554" s="34">
        <v>20130422.84</v>
      </c>
      <c r="L554" s="34">
        <v>978699.81</v>
      </c>
      <c r="M554" s="34">
        <v>6508022.25</v>
      </c>
      <c r="N554" s="34">
        <v>3552653.25</v>
      </c>
      <c r="O554" s="34">
        <v>22761495.690000001</v>
      </c>
      <c r="P554" s="34">
        <v>14122.16</v>
      </c>
      <c r="Q554" s="34">
        <v>27075597.41</v>
      </c>
      <c r="R554" s="34">
        <v>6470824</v>
      </c>
      <c r="S554" s="34">
        <v>743107446.46000004</v>
      </c>
      <c r="T554" s="34">
        <v>14069401.98</v>
      </c>
      <c r="U554" s="34">
        <v>74613</v>
      </c>
      <c r="V554" s="34">
        <v>129796.09</v>
      </c>
      <c r="W554" s="14">
        <v>3371.12</v>
      </c>
      <c r="X554" s="34">
        <v>19276.25</v>
      </c>
      <c r="Y554" s="29">
        <f t="shared" si="9"/>
        <v>1066064190.5400002</v>
      </c>
      <c r="AA554" s="34"/>
      <c r="AC554" s="34"/>
    </row>
    <row r="555" spans="1:29" x14ac:dyDescent="0.3">
      <c r="A555" s="15">
        <v>41671</v>
      </c>
      <c r="B555" s="6">
        <f t="shared" si="8"/>
        <v>19755</v>
      </c>
      <c r="C555" s="34">
        <v>15172560.545000002</v>
      </c>
      <c r="D555" s="34">
        <v>22941318.295000002</v>
      </c>
      <c r="E555" s="34">
        <v>1518416.23</v>
      </c>
      <c r="F555" s="34">
        <v>8816108.9299999997</v>
      </c>
      <c r="G555" s="34">
        <v>48403761.560000002</v>
      </c>
      <c r="H555" s="34">
        <v>4979099.82</v>
      </c>
      <c r="I555" s="34">
        <v>23508401.559999999</v>
      </c>
      <c r="J555" s="34">
        <v>1345108.6</v>
      </c>
      <c r="K555" s="34">
        <v>21842777.510000002</v>
      </c>
      <c r="L555" s="34">
        <v>828993.72</v>
      </c>
      <c r="M555" s="34">
        <v>5737146.1399999997</v>
      </c>
      <c r="N555" s="34">
        <v>5537401.46</v>
      </c>
      <c r="O555" s="34">
        <v>15039640.48</v>
      </c>
      <c r="P555" s="34">
        <v>186039.66</v>
      </c>
      <c r="Q555" s="34">
        <v>27075597.41</v>
      </c>
      <c r="R555" s="34">
        <v>3216963.96</v>
      </c>
      <c r="S555" s="34">
        <v>519696987.93000001</v>
      </c>
      <c r="T555" s="34">
        <v>11116670.4</v>
      </c>
      <c r="U555" s="34">
        <v>82654</v>
      </c>
      <c r="V555" s="34">
        <v>124213.14</v>
      </c>
      <c r="W555" s="14">
        <v>745.13</v>
      </c>
      <c r="X555" s="34">
        <v>577.56999999999994</v>
      </c>
      <c r="Y555" s="29">
        <f t="shared" si="9"/>
        <v>737171184.04999995</v>
      </c>
      <c r="AA555" s="34"/>
      <c r="AC555" s="34"/>
    </row>
    <row r="556" spans="1:29" x14ac:dyDescent="0.3">
      <c r="A556" s="15">
        <v>41699</v>
      </c>
      <c r="B556" s="6">
        <f t="shared" si="8"/>
        <v>19783</v>
      </c>
      <c r="C556" s="34">
        <v>73000012.347000003</v>
      </c>
      <c r="D556" s="34">
        <v>115223592.553</v>
      </c>
      <c r="E556" s="34">
        <v>14470055.210000001</v>
      </c>
      <c r="F556" s="34">
        <v>8809713.4100000001</v>
      </c>
      <c r="G556" s="34">
        <v>45969771.920000002</v>
      </c>
      <c r="H556" s="34">
        <v>4724554.57</v>
      </c>
      <c r="I556" s="34">
        <v>18974369.920000002</v>
      </c>
      <c r="J556" s="34">
        <v>1319213.27</v>
      </c>
      <c r="K556" s="34">
        <v>27199904.050000001</v>
      </c>
      <c r="L556" s="34">
        <v>1131554.45</v>
      </c>
      <c r="M556" s="34">
        <v>6292631.1500000004</v>
      </c>
      <c r="N556" s="34">
        <v>9102728.3200000003</v>
      </c>
      <c r="O556" s="34">
        <v>16485214.449999999</v>
      </c>
      <c r="P556" s="34">
        <v>13165.83</v>
      </c>
      <c r="Q556" s="34">
        <v>27075597.41</v>
      </c>
      <c r="R556" s="34">
        <v>4226651.5199999996</v>
      </c>
      <c r="S556" s="34">
        <v>568198995.28999996</v>
      </c>
      <c r="T556" s="34">
        <v>13394507.67</v>
      </c>
      <c r="U556" s="34">
        <v>40946</v>
      </c>
      <c r="V556" s="34">
        <v>116441.43</v>
      </c>
      <c r="W556" s="14">
        <v>3071.83</v>
      </c>
      <c r="X556" s="34">
        <v>28.4</v>
      </c>
      <c r="Y556" s="29">
        <f t="shared" si="9"/>
        <v>955772720.99999976</v>
      </c>
      <c r="AA556" s="34"/>
      <c r="AC556" s="34"/>
    </row>
    <row r="557" spans="1:29" x14ac:dyDescent="0.3">
      <c r="A557" s="15">
        <v>41730</v>
      </c>
      <c r="B557" s="6">
        <f t="shared" si="8"/>
        <v>19814</v>
      </c>
      <c r="C557" s="34">
        <v>171658085.52149999</v>
      </c>
      <c r="D557" s="34">
        <v>287470403.07850003</v>
      </c>
      <c r="E557" s="34">
        <v>201610401.13999999</v>
      </c>
      <c r="F557" s="34">
        <v>8371291.9799999995</v>
      </c>
      <c r="G557" s="34">
        <v>47538133.170000002</v>
      </c>
      <c r="H557" s="34">
        <v>5006496.46</v>
      </c>
      <c r="I557" s="34">
        <v>22367331.219999999</v>
      </c>
      <c r="J557" s="34">
        <v>1492247.64</v>
      </c>
      <c r="K557" s="34">
        <v>30295937.809999999</v>
      </c>
      <c r="L557" s="34">
        <v>1107196.48</v>
      </c>
      <c r="M557" s="34">
        <v>6873540.3399999999</v>
      </c>
      <c r="N557" s="34">
        <v>39886694.649999999</v>
      </c>
      <c r="O557" s="34">
        <v>20809556.359999999</v>
      </c>
      <c r="P557" s="34">
        <v>66941.02</v>
      </c>
      <c r="Q557" s="34">
        <v>27075597.41</v>
      </c>
      <c r="R557" s="34">
        <v>4489119.1000000015</v>
      </c>
      <c r="S557" s="34">
        <v>638403300.22000003</v>
      </c>
      <c r="T557" s="34">
        <v>15391821.769999998</v>
      </c>
      <c r="U557" s="34">
        <v>70008</v>
      </c>
      <c r="V557" s="34">
        <v>148698.10999999999</v>
      </c>
      <c r="W557" s="14">
        <v>7651.8099999999995</v>
      </c>
      <c r="X557" s="34">
        <v>0</v>
      </c>
      <c r="Y557" s="29">
        <f t="shared" si="9"/>
        <v>1530140453.2899997</v>
      </c>
      <c r="AA557" s="34"/>
      <c r="AC557" s="34"/>
    </row>
    <row r="558" spans="1:29" x14ac:dyDescent="0.3">
      <c r="A558" s="15">
        <v>41760</v>
      </c>
      <c r="B558" s="6">
        <f t="shared" si="8"/>
        <v>19844</v>
      </c>
      <c r="C558" s="34">
        <v>19800231.125500001</v>
      </c>
      <c r="D558" s="34">
        <v>26708607.8145</v>
      </c>
      <c r="E558" s="34">
        <v>6419574.9900000002</v>
      </c>
      <c r="F558" s="34">
        <v>8187980.1999999993</v>
      </c>
      <c r="G558" s="34">
        <v>55012456.140000001</v>
      </c>
      <c r="H558" s="34">
        <v>5601611.2300000004</v>
      </c>
      <c r="I558" s="34">
        <v>21563040.509999994</v>
      </c>
      <c r="J558" s="34">
        <v>1522559.33</v>
      </c>
      <c r="K558" s="34">
        <v>20677400.990000002</v>
      </c>
      <c r="L558" s="34">
        <v>1019976.65</v>
      </c>
      <c r="M558" s="34">
        <v>6651129.0599999996</v>
      </c>
      <c r="N558" s="34">
        <v>20888039.68</v>
      </c>
      <c r="O558" s="34">
        <v>49050090.200000003</v>
      </c>
      <c r="P558" s="34">
        <v>90493.03</v>
      </c>
      <c r="Q558" s="34">
        <v>27075597.41</v>
      </c>
      <c r="R558" s="34">
        <v>5123060.6499999994</v>
      </c>
      <c r="S558" s="34">
        <v>590248417.08999991</v>
      </c>
      <c r="T558" s="34">
        <v>12678680.09</v>
      </c>
      <c r="U558" s="34">
        <v>69446</v>
      </c>
      <c r="V558" s="34">
        <v>166248.57999999999</v>
      </c>
      <c r="W558" s="14">
        <v>6443.5599999999995</v>
      </c>
      <c r="X558" s="34">
        <v>0</v>
      </c>
      <c r="Y558" s="29">
        <f t="shared" si="9"/>
        <v>878561084.32999992</v>
      </c>
      <c r="AA558" s="34"/>
      <c r="AC558" s="34"/>
    </row>
    <row r="559" spans="1:29" x14ac:dyDescent="0.3">
      <c r="A559" s="15">
        <v>41791</v>
      </c>
      <c r="B559" s="6">
        <f t="shared" si="8"/>
        <v>19875</v>
      </c>
      <c r="C559" s="34">
        <v>117403394.581</v>
      </c>
      <c r="D559" s="34">
        <v>211705039.86900002</v>
      </c>
      <c r="E559" s="34">
        <v>2124018.1799999997</v>
      </c>
      <c r="F559" s="34">
        <v>6783289.6900000004</v>
      </c>
      <c r="G559" s="34">
        <v>57019598.25</v>
      </c>
      <c r="H559" s="34">
        <v>5788769.1600000001</v>
      </c>
      <c r="I559" s="34">
        <v>19168206.199999999</v>
      </c>
      <c r="J559" s="34">
        <v>1672571.9999999998</v>
      </c>
      <c r="K559" s="34">
        <v>16897618.690000001</v>
      </c>
      <c r="L559" s="34">
        <v>563405.5</v>
      </c>
      <c r="M559" s="34">
        <v>7645345.4800000004</v>
      </c>
      <c r="N559" s="34">
        <v>3668526.9400000004</v>
      </c>
      <c r="O559" s="34">
        <v>54175151.669999994</v>
      </c>
      <c r="P559" s="34">
        <v>17609.75</v>
      </c>
      <c r="Q559" s="34">
        <v>27075597.41</v>
      </c>
      <c r="R559" s="34">
        <v>4933116.32</v>
      </c>
      <c r="S559" s="34">
        <v>629642609.50999999</v>
      </c>
      <c r="T559" s="34">
        <v>14338355.720000001</v>
      </c>
      <c r="U559" s="34">
        <v>46241</v>
      </c>
      <c r="V559" s="34">
        <v>137453.45000000001</v>
      </c>
      <c r="W559" s="14">
        <v>112745.13</v>
      </c>
      <c r="X559" s="34">
        <v>1091.0999999999999</v>
      </c>
      <c r="Y559" s="29">
        <f t="shared" si="9"/>
        <v>1180919755.6000001</v>
      </c>
      <c r="AA559" s="34"/>
      <c r="AC559" s="34"/>
    </row>
    <row r="560" spans="1:29" x14ac:dyDescent="0.3">
      <c r="A560" s="15">
        <v>41821</v>
      </c>
      <c r="B560" s="6">
        <f t="shared" si="8"/>
        <v>19905</v>
      </c>
      <c r="C560" s="34">
        <v>-8435917.304999996</v>
      </c>
      <c r="D560" s="34">
        <v>76911856.594999984</v>
      </c>
      <c r="E560" s="34">
        <v>1313572.4299999995</v>
      </c>
      <c r="F560" s="34">
        <v>9528868.7200000007</v>
      </c>
      <c r="G560" s="34">
        <v>54758559.120000005</v>
      </c>
      <c r="H560" s="34">
        <v>5536342.4900000002</v>
      </c>
      <c r="I560" s="34">
        <v>24933128.649999999</v>
      </c>
      <c r="J560" s="34">
        <v>1686120.2000000002</v>
      </c>
      <c r="K560" s="34">
        <v>20275858.969999999</v>
      </c>
      <c r="L560" s="34">
        <v>983516.77</v>
      </c>
      <c r="M560" s="34">
        <v>7005820.4800000004</v>
      </c>
      <c r="N560" s="34">
        <v>4081853.41</v>
      </c>
      <c r="O560" s="34">
        <v>25823589.100000005</v>
      </c>
      <c r="P560" s="34">
        <v>14419711.769999998</v>
      </c>
      <c r="Q560" s="34">
        <v>27075597.41</v>
      </c>
      <c r="R560" s="34">
        <v>5257346.0999999996</v>
      </c>
      <c r="S560" s="34">
        <v>654991640.06000006</v>
      </c>
      <c r="T560" s="34">
        <v>15387364.42</v>
      </c>
      <c r="U560" s="34">
        <v>41681</v>
      </c>
      <c r="V560" s="34">
        <v>143079.10999999999</v>
      </c>
      <c r="W560" s="14">
        <v>91635.13</v>
      </c>
      <c r="X560" s="34">
        <v>0</v>
      </c>
      <c r="Y560" s="29">
        <f t="shared" si="9"/>
        <v>941811224.63</v>
      </c>
      <c r="AA560" s="34"/>
      <c r="AC560" s="34"/>
    </row>
    <row r="561" spans="1:29" x14ac:dyDescent="0.3">
      <c r="A561" s="15">
        <v>41852</v>
      </c>
      <c r="B561" s="6">
        <f t="shared" si="8"/>
        <v>19936</v>
      </c>
      <c r="C561" s="34">
        <v>17082081.722500004</v>
      </c>
      <c r="D561" s="34">
        <v>17502459.407499995</v>
      </c>
      <c r="E561" s="34">
        <v>1384000.5099999995</v>
      </c>
      <c r="F561" s="34">
        <v>9110794.2199999988</v>
      </c>
      <c r="G561" s="34">
        <v>53374193.920000002</v>
      </c>
      <c r="H561" s="34">
        <v>5447796.0700000003</v>
      </c>
      <c r="I561" s="34">
        <v>23118088.800000001</v>
      </c>
      <c r="J561" s="34">
        <v>1606450.8599999999</v>
      </c>
      <c r="K561" s="34">
        <v>20985420.449999999</v>
      </c>
      <c r="L561" s="34">
        <v>1069410.3700000001</v>
      </c>
      <c r="M561" s="34">
        <v>6554328.8899999997</v>
      </c>
      <c r="N561" s="34">
        <v>3844440.53</v>
      </c>
      <c r="O561" s="34">
        <v>23169686.629999995</v>
      </c>
      <c r="P561" s="34">
        <v>12854197.210000001</v>
      </c>
      <c r="Q561" s="34">
        <v>27075597.41</v>
      </c>
      <c r="R561" s="34">
        <v>4164560.91</v>
      </c>
      <c r="S561" s="34">
        <v>629734406.50999999</v>
      </c>
      <c r="T561" s="34">
        <v>11628068.190000001</v>
      </c>
      <c r="U561" s="34">
        <v>61440</v>
      </c>
      <c r="V561" s="34">
        <v>161955.51999999999</v>
      </c>
      <c r="W561" s="14">
        <v>29698.36</v>
      </c>
      <c r="X561" s="34">
        <v>24</v>
      </c>
      <c r="Y561" s="29">
        <f t="shared" si="9"/>
        <v>869959100.49000001</v>
      </c>
      <c r="AA561" s="34"/>
      <c r="AC561" s="34"/>
    </row>
    <row r="562" spans="1:29" x14ac:dyDescent="0.3">
      <c r="A562" s="15">
        <v>41883</v>
      </c>
      <c r="B562" s="6">
        <f t="shared" si="8"/>
        <v>19967</v>
      </c>
      <c r="C562" s="34">
        <v>122366482.7895</v>
      </c>
      <c r="D562" s="34">
        <v>196131215.61049998</v>
      </c>
      <c r="E562" s="34">
        <v>1796070.2600000002</v>
      </c>
      <c r="F562" s="34">
        <v>8678158.6899999995</v>
      </c>
      <c r="G562" s="34">
        <v>53851541.970000006</v>
      </c>
      <c r="H562" s="34">
        <v>5583408.7200000007</v>
      </c>
      <c r="I562" s="34">
        <v>21283191.990000002</v>
      </c>
      <c r="J562" s="34">
        <v>1547553.28</v>
      </c>
      <c r="K562" s="34">
        <v>19983914.039999999</v>
      </c>
      <c r="L562" s="34">
        <v>968800.25</v>
      </c>
      <c r="M562" s="34">
        <v>7032596.6399999997</v>
      </c>
      <c r="N562" s="34">
        <v>8955911.7199999988</v>
      </c>
      <c r="O562" s="34">
        <v>27268480.209999997</v>
      </c>
      <c r="P562" s="34">
        <v>802074.54</v>
      </c>
      <c r="Q562" s="34">
        <v>33748602.490000002</v>
      </c>
      <c r="R562" s="34">
        <v>4404234.8899999997</v>
      </c>
      <c r="S562" s="34">
        <v>622113569.70000005</v>
      </c>
      <c r="T562" s="34">
        <v>14360836.09</v>
      </c>
      <c r="U562" s="34">
        <v>49531.83</v>
      </c>
      <c r="V562" s="34">
        <v>141407.48000000001</v>
      </c>
      <c r="W562" s="14">
        <v>12744.150000000001</v>
      </c>
      <c r="X562" s="34">
        <v>0</v>
      </c>
      <c r="Y562" s="29">
        <f t="shared" si="9"/>
        <v>1151080327.3399999</v>
      </c>
      <c r="AA562" s="34"/>
      <c r="AC562" s="34"/>
    </row>
    <row r="563" spans="1:29" x14ac:dyDescent="0.3">
      <c r="A563" s="15">
        <v>41913</v>
      </c>
      <c r="B563" s="6">
        <f t="shared" si="8"/>
        <v>19997</v>
      </c>
      <c r="C563" s="34">
        <v>21312274.637000024</v>
      </c>
      <c r="D563" s="34">
        <v>5507515.8930000067</v>
      </c>
      <c r="E563" s="34">
        <v>5490098.3199999994</v>
      </c>
      <c r="F563" s="34">
        <v>10081532.180000002</v>
      </c>
      <c r="G563" s="34">
        <v>51725607.630000003</v>
      </c>
      <c r="H563" s="34">
        <v>5371004.9799999995</v>
      </c>
      <c r="I563" s="34">
        <v>26342299.75</v>
      </c>
      <c r="J563" s="34">
        <v>1590015.77</v>
      </c>
      <c r="K563" s="34">
        <v>21113949.889999997</v>
      </c>
      <c r="L563" s="34">
        <v>1170021.1399999999</v>
      </c>
      <c r="M563" s="34">
        <v>6859793.0199999996</v>
      </c>
      <c r="N563" s="34">
        <v>4067911.5</v>
      </c>
      <c r="O563" s="34">
        <v>28916616.529999994</v>
      </c>
      <c r="P563" s="34">
        <v>12302.560000000001</v>
      </c>
      <c r="Q563" s="34">
        <v>28622969.329999998</v>
      </c>
      <c r="R563" s="34">
        <v>4452629.88</v>
      </c>
      <c r="S563" s="34">
        <v>635126351.86000001</v>
      </c>
      <c r="T563" s="34">
        <v>16022967.67</v>
      </c>
      <c r="U563" s="34">
        <v>66463.61</v>
      </c>
      <c r="V563" s="34">
        <v>239580.52</v>
      </c>
      <c r="W563" s="14">
        <v>8435.130000000001</v>
      </c>
      <c r="X563" s="34">
        <v>0</v>
      </c>
      <c r="Y563" s="29">
        <f t="shared" si="9"/>
        <v>874100341.79999995</v>
      </c>
      <c r="AA563" s="34"/>
      <c r="AC563" s="34"/>
    </row>
    <row r="564" spans="1:29" x14ac:dyDescent="0.3">
      <c r="A564" s="15">
        <v>41944</v>
      </c>
      <c r="B564" s="6">
        <f t="shared" si="8"/>
        <v>20028</v>
      </c>
      <c r="C564" s="34">
        <v>13627319.538000003</v>
      </c>
      <c r="D564" s="34">
        <v>2509575.2819999978</v>
      </c>
      <c r="E564" s="34">
        <v>1276815.6599999997</v>
      </c>
      <c r="F564" s="34">
        <v>6715198.0899999999</v>
      </c>
      <c r="G564" s="34">
        <v>50827097.630000003</v>
      </c>
      <c r="H564" s="34">
        <v>5315380.5999999996</v>
      </c>
      <c r="I564" s="34">
        <v>18548096.870000001</v>
      </c>
      <c r="J564" s="34">
        <v>1523598.44</v>
      </c>
      <c r="K564" s="34">
        <v>20069389.199999999</v>
      </c>
      <c r="L564" s="34">
        <v>938142</v>
      </c>
      <c r="M564" s="34">
        <v>7373044.4299999997</v>
      </c>
      <c r="N564" s="34">
        <v>4570208.6900000004</v>
      </c>
      <c r="O564" s="34">
        <v>22633465.550000001</v>
      </c>
      <c r="P564" s="34">
        <v>-287005.92</v>
      </c>
      <c r="Q564" s="34">
        <v>28622969.329999998</v>
      </c>
      <c r="R564" s="34">
        <v>5006052.7300000004</v>
      </c>
      <c r="S564" s="34">
        <v>621619604.26999998</v>
      </c>
      <c r="T564" s="34">
        <v>12563319.390000001</v>
      </c>
      <c r="U564" s="34">
        <v>71451</v>
      </c>
      <c r="V564" s="34">
        <v>117628.46</v>
      </c>
      <c r="W564" s="14">
        <v>12200.130000000001</v>
      </c>
      <c r="X564" s="34">
        <v>446.8</v>
      </c>
      <c r="Y564" s="29">
        <f t="shared" si="9"/>
        <v>823653998.16999996</v>
      </c>
      <c r="AA564" s="34"/>
      <c r="AC564" s="34"/>
    </row>
    <row r="565" spans="1:29" x14ac:dyDescent="0.3">
      <c r="A565" s="15">
        <v>41974</v>
      </c>
      <c r="B565" s="6">
        <f t="shared" si="8"/>
        <v>20058</v>
      </c>
      <c r="C565" s="34">
        <v>85645570.329999998</v>
      </c>
      <c r="D565" s="34">
        <v>133623872.31</v>
      </c>
      <c r="E565" s="34">
        <v>2836576.66</v>
      </c>
      <c r="F565" s="34">
        <v>4810834.3</v>
      </c>
      <c r="G565" s="34">
        <v>55080006.370000005</v>
      </c>
      <c r="H565" s="34">
        <v>5567178.1699999999</v>
      </c>
      <c r="I565" s="34">
        <v>21026780.539999999</v>
      </c>
      <c r="J565" s="34">
        <v>1260947.21</v>
      </c>
      <c r="K565" s="34">
        <v>15872275.640000001</v>
      </c>
      <c r="L565" s="34">
        <v>813822.37</v>
      </c>
      <c r="M565" s="34">
        <v>6692084.71</v>
      </c>
      <c r="N565" s="34">
        <v>6190952.6699999999</v>
      </c>
      <c r="O565" s="34">
        <v>19049116.809999999</v>
      </c>
      <c r="P565" s="34">
        <v>120270.89</v>
      </c>
      <c r="Q565" s="34">
        <v>28622969.329999998</v>
      </c>
      <c r="R565" s="34">
        <v>4893257.37</v>
      </c>
      <c r="S565" s="34">
        <v>611538755.80000007</v>
      </c>
      <c r="T565" s="34">
        <v>13532856.240000002</v>
      </c>
      <c r="U565" s="34">
        <v>69334</v>
      </c>
      <c r="V565" s="34">
        <v>105836.37</v>
      </c>
      <c r="W565" s="14">
        <v>7951.42</v>
      </c>
      <c r="X565" s="34">
        <v>0</v>
      </c>
      <c r="Y565" s="29">
        <f t="shared" si="9"/>
        <v>1017361249.51</v>
      </c>
      <c r="AA565" s="34"/>
      <c r="AC565" s="34"/>
    </row>
    <row r="566" spans="1:29" x14ac:dyDescent="0.3">
      <c r="A566" s="15">
        <v>42005</v>
      </c>
      <c r="B566" s="6">
        <f t="shared" si="8"/>
        <v>20089</v>
      </c>
      <c r="C566" s="34">
        <v>111775854.2955</v>
      </c>
      <c r="D566" s="34">
        <v>211503287.0345</v>
      </c>
      <c r="E566" s="34">
        <v>4392401.1899999995</v>
      </c>
      <c r="F566" s="34">
        <v>9648109.370000001</v>
      </c>
      <c r="G566" s="34">
        <v>53279622.530000001</v>
      </c>
      <c r="H566" s="34">
        <v>5419355.4900000002</v>
      </c>
      <c r="I566" s="34">
        <v>20737021.440000001</v>
      </c>
      <c r="J566" s="34">
        <v>1336229.5</v>
      </c>
      <c r="K566" s="34">
        <v>21250257.16</v>
      </c>
      <c r="L566" s="34">
        <v>855612.3</v>
      </c>
      <c r="M566" s="34">
        <v>7306278.3200000003</v>
      </c>
      <c r="N566" s="34">
        <v>5489697.3599999994</v>
      </c>
      <c r="O566" s="34">
        <v>26248552</v>
      </c>
      <c r="P566" s="34">
        <v>20029.54</v>
      </c>
      <c r="Q566" s="34">
        <v>28622969.329999998</v>
      </c>
      <c r="R566" s="34">
        <v>6718796.5399999991</v>
      </c>
      <c r="S566" s="34">
        <v>801042829.73000002</v>
      </c>
      <c r="T566" s="34">
        <v>14950209.380000001</v>
      </c>
      <c r="U566" s="34">
        <v>76833</v>
      </c>
      <c r="V566" s="34">
        <v>122639.35</v>
      </c>
      <c r="W566" s="14">
        <v>5712.13</v>
      </c>
      <c r="X566" s="34">
        <v>0</v>
      </c>
      <c r="Y566" s="29">
        <f t="shared" si="9"/>
        <v>1330802296.9900002</v>
      </c>
      <c r="AA566" s="34"/>
      <c r="AC566" s="34"/>
    </row>
    <row r="567" spans="1:29" x14ac:dyDescent="0.3">
      <c r="A567" s="15">
        <v>42036</v>
      </c>
      <c r="B567" s="6">
        <f t="shared" si="8"/>
        <v>20120</v>
      </c>
      <c r="C567" s="34">
        <v>16106197.656500001</v>
      </c>
      <c r="D567" s="34">
        <v>33951927.6435</v>
      </c>
      <c r="E567" s="34">
        <v>1843212.17</v>
      </c>
      <c r="F567" s="34">
        <v>3551802.01</v>
      </c>
      <c r="G567" s="34">
        <v>52814807.359999999</v>
      </c>
      <c r="H567" s="34">
        <v>5343008.72</v>
      </c>
      <c r="I567" s="34">
        <v>18176090.850000001</v>
      </c>
      <c r="J567" s="34">
        <v>978845.78</v>
      </c>
      <c r="K567" s="34">
        <v>21753754.830000002</v>
      </c>
      <c r="L567" s="34">
        <v>866048</v>
      </c>
      <c r="M567" s="34">
        <v>6376991.71</v>
      </c>
      <c r="N567" s="34">
        <v>5739300.7800000003</v>
      </c>
      <c r="O567" s="34">
        <v>16349169.250000002</v>
      </c>
      <c r="P567" s="34">
        <v>-160072.77000000002</v>
      </c>
      <c r="Q567" s="34">
        <v>28622969.329999998</v>
      </c>
      <c r="R567" s="34">
        <v>3404845.56</v>
      </c>
      <c r="S567" s="34">
        <v>559290593.22000003</v>
      </c>
      <c r="T567" s="34">
        <v>11961529.249999998</v>
      </c>
      <c r="U567" s="34">
        <v>74918</v>
      </c>
      <c r="V567" s="34">
        <v>94693.5</v>
      </c>
      <c r="W567" s="14">
        <v>9966.99</v>
      </c>
      <c r="X567" s="34">
        <v>0</v>
      </c>
      <c r="Y567" s="29">
        <f t="shared" si="9"/>
        <v>787150599.84000003</v>
      </c>
      <c r="AA567" s="34"/>
      <c r="AC567" s="34"/>
    </row>
    <row r="568" spans="1:29" x14ac:dyDescent="0.3">
      <c r="A568" s="15">
        <v>42064</v>
      </c>
      <c r="B568" s="6">
        <f t="shared" si="8"/>
        <v>20148</v>
      </c>
      <c r="C568" s="34">
        <v>73183594.126000002</v>
      </c>
      <c r="D568" s="34">
        <v>123161825.344</v>
      </c>
      <c r="E568" s="34">
        <v>14565170.709999999</v>
      </c>
      <c r="F568" s="34">
        <v>9296936.629999999</v>
      </c>
      <c r="G568" s="34">
        <v>44651363.169999994</v>
      </c>
      <c r="H568" s="34">
        <v>4631190.0299999993</v>
      </c>
      <c r="I568" s="34">
        <v>21103019.310000002</v>
      </c>
      <c r="J568" s="34">
        <v>1522075.74</v>
      </c>
      <c r="K568" s="34">
        <v>24340716.010000005</v>
      </c>
      <c r="L568" s="34">
        <v>898010.84</v>
      </c>
      <c r="M568" s="34">
        <v>6570350.7000000002</v>
      </c>
      <c r="N568" s="34">
        <v>8580593.7599999998</v>
      </c>
      <c r="O568" s="34">
        <v>16280493.200000001</v>
      </c>
      <c r="P568" s="34">
        <v>26137.410000000003</v>
      </c>
      <c r="Q568" s="34">
        <v>28622969.329999998</v>
      </c>
      <c r="R568" s="34">
        <v>4352167.169999999</v>
      </c>
      <c r="S568" s="34">
        <v>550199152.77999997</v>
      </c>
      <c r="T568" s="34">
        <v>11630030.719999999</v>
      </c>
      <c r="U568" s="34">
        <v>60796</v>
      </c>
      <c r="V568" s="34">
        <v>65834.45</v>
      </c>
      <c r="W568" s="14">
        <v>1860</v>
      </c>
      <c r="X568" s="34">
        <v>0</v>
      </c>
      <c r="Y568" s="29">
        <f t="shared" si="9"/>
        <v>943744287.43000007</v>
      </c>
      <c r="AA568" s="34"/>
      <c r="AC568" s="34"/>
    </row>
    <row r="569" spans="1:29" x14ac:dyDescent="0.3">
      <c r="A569" s="15">
        <v>42095</v>
      </c>
      <c r="B569" s="6">
        <f t="shared" si="8"/>
        <v>20179</v>
      </c>
      <c r="C569" s="34">
        <v>186441276.95300001</v>
      </c>
      <c r="D569" s="34">
        <v>329024827.04699999</v>
      </c>
      <c r="E569" s="34">
        <v>255915928.24000001</v>
      </c>
      <c r="F569" s="34">
        <v>4967530.3499999996</v>
      </c>
      <c r="G569" s="34">
        <v>46795846.259999998</v>
      </c>
      <c r="H569" s="34">
        <v>5021869.42</v>
      </c>
      <c r="I569" s="34">
        <v>24299647.249999996</v>
      </c>
      <c r="J569" s="34">
        <v>1378874.98</v>
      </c>
      <c r="K569" s="34">
        <v>31513489.399999999</v>
      </c>
      <c r="L569" s="34">
        <v>1169348.6499999999</v>
      </c>
      <c r="M569" s="34">
        <v>7608574.3700000001</v>
      </c>
      <c r="N569" s="34">
        <v>62552765.149999991</v>
      </c>
      <c r="O569" s="34">
        <v>27384721.07</v>
      </c>
      <c r="P569" s="34">
        <v>28755.94</v>
      </c>
      <c r="Q569" s="34">
        <v>28622969.329999998</v>
      </c>
      <c r="R569" s="34">
        <v>5016851.8900000006</v>
      </c>
      <c r="S569" s="34">
        <v>671195816.56000006</v>
      </c>
      <c r="T569" s="34">
        <v>16234320.969999999</v>
      </c>
      <c r="U569" s="34">
        <v>66287.649999999994</v>
      </c>
      <c r="V569" s="34">
        <v>49176.46</v>
      </c>
      <c r="W569" s="14">
        <v>5430.13</v>
      </c>
      <c r="X569" s="34">
        <v>0</v>
      </c>
      <c r="Y569" s="29">
        <f t="shared" si="9"/>
        <v>1705294308.0700004</v>
      </c>
      <c r="AA569" s="34"/>
      <c r="AC569" s="34"/>
    </row>
    <row r="570" spans="1:29" x14ac:dyDescent="0.3">
      <c r="A570" s="15">
        <v>42125</v>
      </c>
      <c r="B570" s="6">
        <f t="shared" si="8"/>
        <v>20209</v>
      </c>
      <c r="C570" s="34">
        <v>24456185.168000001</v>
      </c>
      <c r="D570" s="34">
        <v>41931265.022</v>
      </c>
      <c r="E570" s="34">
        <v>8918650.040000001</v>
      </c>
      <c r="F570" s="34">
        <v>4617974.8899999997</v>
      </c>
      <c r="G570" s="34">
        <v>53049496.520000003</v>
      </c>
      <c r="H570" s="34">
        <v>5419643.3099999996</v>
      </c>
      <c r="I570" s="34">
        <v>21156621.829999998</v>
      </c>
      <c r="J570" s="34">
        <v>1877012.1199999999</v>
      </c>
      <c r="K570" s="34">
        <v>20812919.850000001</v>
      </c>
      <c r="L570" s="34">
        <v>1114250.78</v>
      </c>
      <c r="M570" s="34">
        <v>7785475.4199999999</v>
      </c>
      <c r="N570" s="34">
        <v>26890690.969999999</v>
      </c>
      <c r="O570" s="34">
        <v>64143291.349999987</v>
      </c>
      <c r="P570" s="34">
        <v>85298.05</v>
      </c>
      <c r="Q570" s="34">
        <v>28622969.329999998</v>
      </c>
      <c r="R570" s="34">
        <v>5091274.8199999975</v>
      </c>
      <c r="S570" s="34">
        <v>643705081.27999997</v>
      </c>
      <c r="T570" s="34">
        <v>14256013.689999999</v>
      </c>
      <c r="U570" s="34">
        <v>62910</v>
      </c>
      <c r="V570" s="34">
        <v>109935.53</v>
      </c>
      <c r="W570" s="14">
        <v>8702.4699999999993</v>
      </c>
      <c r="X570" s="34">
        <v>102.7</v>
      </c>
      <c r="Y570" s="29">
        <f t="shared" si="9"/>
        <v>974115765.1400001</v>
      </c>
      <c r="AA570" s="34"/>
      <c r="AC570" s="34"/>
    </row>
    <row r="571" spans="1:29" x14ac:dyDescent="0.3">
      <c r="A571" s="15">
        <v>42156</v>
      </c>
      <c r="B571" s="6">
        <f t="shared" ref="B571:B619" si="10">A571-21916</f>
        <v>20240</v>
      </c>
      <c r="C571" s="34">
        <v>126995903.698</v>
      </c>
      <c r="D571" s="34">
        <v>229212953.29200003</v>
      </c>
      <c r="E571" s="34">
        <v>2463025.6899999995</v>
      </c>
      <c r="F571" s="34">
        <v>3203184.1899999995</v>
      </c>
      <c r="G571" s="34">
        <v>56931799.109999999</v>
      </c>
      <c r="H571" s="34">
        <v>5755750.5599999996</v>
      </c>
      <c r="I571" s="34">
        <v>22841774.100000001</v>
      </c>
      <c r="J571" s="34">
        <v>1600914.14</v>
      </c>
      <c r="K571" s="34">
        <v>22358253.41</v>
      </c>
      <c r="L571" s="34">
        <v>1115737.98</v>
      </c>
      <c r="M571" s="34">
        <v>8214487.3499999996</v>
      </c>
      <c r="N571" s="34">
        <v>7953491.0499999989</v>
      </c>
      <c r="O571" s="34">
        <v>55124458.869999997</v>
      </c>
      <c r="P571" s="34">
        <v>-1909807.15</v>
      </c>
      <c r="Q571" s="34">
        <v>28622969.329999998</v>
      </c>
      <c r="R571" s="34">
        <v>5163683.01</v>
      </c>
      <c r="S571" s="34">
        <v>677590592.26999986</v>
      </c>
      <c r="T571" s="34">
        <v>13526099.610000001</v>
      </c>
      <c r="U571" s="34">
        <v>60517</v>
      </c>
      <c r="V571" s="34">
        <v>81283.91</v>
      </c>
      <c r="W571" s="14">
        <v>128678</v>
      </c>
      <c r="X571" s="34">
        <v>0</v>
      </c>
      <c r="Y571" s="29">
        <f t="shared" si="9"/>
        <v>1267035749.4200001</v>
      </c>
      <c r="AA571" s="34"/>
      <c r="AC571" s="34"/>
    </row>
    <row r="572" spans="1:29" x14ac:dyDescent="0.3">
      <c r="A572" s="15">
        <v>42186</v>
      </c>
      <c r="B572" s="6">
        <f t="shared" si="10"/>
        <v>20270</v>
      </c>
      <c r="C572" s="34">
        <v>18571930.669999998</v>
      </c>
      <c r="D572" s="34">
        <v>61929601.649999999</v>
      </c>
      <c r="E572" s="34">
        <v>1943603.6500000004</v>
      </c>
      <c r="F572" s="34">
        <v>5685507.3999999994</v>
      </c>
      <c r="G572" s="34">
        <v>59506752.280000001</v>
      </c>
      <c r="H572" s="34">
        <v>5944259.3300000001</v>
      </c>
      <c r="I572" s="34">
        <v>25504136.790000003</v>
      </c>
      <c r="J572" s="34">
        <v>1637031.83</v>
      </c>
      <c r="K572" s="34">
        <v>24580803.280000005</v>
      </c>
      <c r="L572" s="34">
        <v>1119156.8600000001</v>
      </c>
      <c r="M572" s="34">
        <v>7538249.29</v>
      </c>
      <c r="N572" s="34">
        <v>5662943.3300000001</v>
      </c>
      <c r="O572" s="34">
        <v>33610891.939999998</v>
      </c>
      <c r="P572" s="34">
        <v>17256505.469999999</v>
      </c>
      <c r="Q572" s="34">
        <v>28622969.329999998</v>
      </c>
      <c r="R572" s="34">
        <v>5559822.2100000009</v>
      </c>
      <c r="S572" s="34">
        <v>700901068.4599998</v>
      </c>
      <c r="T572" s="34">
        <v>16099928.329999998</v>
      </c>
      <c r="U572" s="34">
        <v>70386</v>
      </c>
      <c r="V572" s="34">
        <v>80843.63</v>
      </c>
      <c r="W572" s="14">
        <v>82140</v>
      </c>
      <c r="X572" s="34">
        <v>80439.63</v>
      </c>
      <c r="Y572" s="29">
        <f t="shared" si="9"/>
        <v>1021988971.3599998</v>
      </c>
      <c r="AA572" s="34"/>
      <c r="AC572" s="34"/>
    </row>
    <row r="573" spans="1:29" x14ac:dyDescent="0.3">
      <c r="A573" s="15">
        <v>42217</v>
      </c>
      <c r="B573" s="6">
        <f t="shared" si="10"/>
        <v>20301</v>
      </c>
      <c r="C573" s="34">
        <v>-47468423.855999991</v>
      </c>
      <c r="D573" s="34">
        <v>59302855.576000005</v>
      </c>
      <c r="E573" s="34">
        <v>1949791.2700000003</v>
      </c>
      <c r="F573" s="34">
        <v>4011653.4999999995</v>
      </c>
      <c r="G573" s="34">
        <v>56507391.339999996</v>
      </c>
      <c r="H573" s="34">
        <v>5691322.0999999996</v>
      </c>
      <c r="I573" s="34">
        <v>21541642.779999997</v>
      </c>
      <c r="J573" s="34">
        <v>1659684.04</v>
      </c>
      <c r="K573" s="34">
        <v>22573394.740000002</v>
      </c>
      <c r="L573" s="34">
        <v>1273158.45</v>
      </c>
      <c r="M573" s="34">
        <v>7615568.7400000002</v>
      </c>
      <c r="N573" s="34">
        <v>2814539.42</v>
      </c>
      <c r="O573" s="34">
        <v>25229841.320000004</v>
      </c>
      <c r="P573" s="34">
        <v>8300001.4299999997</v>
      </c>
      <c r="Q573" s="34">
        <v>28622969.329999998</v>
      </c>
      <c r="R573" s="34">
        <v>4454787.9700000016</v>
      </c>
      <c r="S573" s="34">
        <v>681741812.7700001</v>
      </c>
      <c r="T573" s="34">
        <v>12446199.109999999</v>
      </c>
      <c r="U573" s="34">
        <v>66282</v>
      </c>
      <c r="V573" s="34">
        <v>73405.240000000005</v>
      </c>
      <c r="W573" s="14">
        <v>20020</v>
      </c>
      <c r="X573" s="34">
        <v>11.3</v>
      </c>
      <c r="Y573" s="29">
        <f t="shared" si="9"/>
        <v>898427908.57000005</v>
      </c>
      <c r="AA573" s="34"/>
      <c r="AC573" s="34"/>
    </row>
    <row r="574" spans="1:29" x14ac:dyDescent="0.3">
      <c r="A574" s="15">
        <v>42248</v>
      </c>
      <c r="B574" s="6">
        <f t="shared" si="10"/>
        <v>20332</v>
      </c>
      <c r="C574" s="34">
        <v>132367485.2675</v>
      </c>
      <c r="D574" s="34">
        <v>228386667.48249999</v>
      </c>
      <c r="E574" s="34">
        <v>2626766.6100000022</v>
      </c>
      <c r="F574" s="34">
        <v>9539220.3299999982</v>
      </c>
      <c r="G574" s="34">
        <v>56502368.849999994</v>
      </c>
      <c r="H574" s="34">
        <v>5747403.6699999999</v>
      </c>
      <c r="I574" s="34">
        <v>22641158.370000005</v>
      </c>
      <c r="J574" s="34">
        <v>1530903.14</v>
      </c>
      <c r="K574" s="34">
        <v>20104327.59</v>
      </c>
      <c r="L574" s="34">
        <v>1778091.64</v>
      </c>
      <c r="M574" s="34">
        <v>7830088.6100000003</v>
      </c>
      <c r="N574" s="34">
        <v>3475979.93</v>
      </c>
      <c r="O574" s="34">
        <v>23286868.149999995</v>
      </c>
      <c r="P574" s="34">
        <v>187074.96</v>
      </c>
      <c r="Q574" s="34">
        <v>35749555.369999997</v>
      </c>
      <c r="R574" s="34">
        <v>4523659.9000000004</v>
      </c>
      <c r="S574" s="34">
        <v>662239049.48000014</v>
      </c>
      <c r="T574" s="34">
        <v>14615778.450000001</v>
      </c>
      <c r="U574" s="34">
        <v>94074</v>
      </c>
      <c r="V574" s="34">
        <v>65461.29</v>
      </c>
      <c r="W574" s="14">
        <v>12600</v>
      </c>
      <c r="X574" s="34">
        <v>0</v>
      </c>
      <c r="Y574" s="29">
        <f t="shared" si="9"/>
        <v>1233304583.0899999</v>
      </c>
      <c r="AA574" s="34"/>
      <c r="AC574" s="34"/>
    </row>
    <row r="575" spans="1:29" x14ac:dyDescent="0.3">
      <c r="A575" s="15">
        <v>42278</v>
      </c>
      <c r="B575" s="6">
        <f t="shared" si="10"/>
        <v>20362</v>
      </c>
      <c r="C575" s="34">
        <v>25920200.610500008</v>
      </c>
      <c r="D575" s="34">
        <v>51465341.32949996</v>
      </c>
      <c r="E575" s="34">
        <v>6454837.6099999994</v>
      </c>
      <c r="F575" s="34">
        <v>3489737.2799999993</v>
      </c>
      <c r="G575" s="34">
        <v>53570935.189999998</v>
      </c>
      <c r="H575" s="34">
        <v>5513069.8399999999</v>
      </c>
      <c r="I575" s="34">
        <v>21893037.25</v>
      </c>
      <c r="J575" s="34">
        <v>1595463.97</v>
      </c>
      <c r="K575" s="34">
        <v>21205557.790000003</v>
      </c>
      <c r="L575" s="34">
        <v>1919199</v>
      </c>
      <c r="M575" s="34">
        <v>7554049.8600000003</v>
      </c>
      <c r="N575" s="34">
        <v>6748596.620000001</v>
      </c>
      <c r="O575" s="34">
        <v>28784897.240000002</v>
      </c>
      <c r="P575" s="34">
        <v>287285.19000000006</v>
      </c>
      <c r="Q575" s="34">
        <v>28453941.91</v>
      </c>
      <c r="R575" s="34">
        <v>5221718.3599999994</v>
      </c>
      <c r="S575" s="34">
        <v>684195214.76000011</v>
      </c>
      <c r="T575" s="34">
        <v>16354003.930000002</v>
      </c>
      <c r="U575" s="34">
        <v>72127</v>
      </c>
      <c r="V575" s="34">
        <v>64074.96</v>
      </c>
      <c r="W575" s="14">
        <v>2730</v>
      </c>
      <c r="X575" s="34">
        <v>20</v>
      </c>
      <c r="Y575" s="29">
        <f t="shared" si="9"/>
        <v>970766039.70000017</v>
      </c>
      <c r="AA575" s="34"/>
      <c r="AC575" s="34"/>
    </row>
    <row r="576" spans="1:29" x14ac:dyDescent="0.3">
      <c r="A576" s="15">
        <v>42309</v>
      </c>
      <c r="B576" s="6">
        <f t="shared" si="10"/>
        <v>20393</v>
      </c>
      <c r="C576" s="34">
        <v>20411386.152500004</v>
      </c>
      <c r="D576" s="34">
        <v>20699084.877499998</v>
      </c>
      <c r="E576" s="34">
        <v>1436530.0599999996</v>
      </c>
      <c r="F576" s="34">
        <v>5042319.54</v>
      </c>
      <c r="G576" s="34">
        <v>56689150.489999995</v>
      </c>
      <c r="H576" s="34">
        <v>5861862.1499999994</v>
      </c>
      <c r="I576" s="34">
        <v>23816411.109999999</v>
      </c>
      <c r="J576" s="34">
        <v>1491018.34</v>
      </c>
      <c r="K576" s="34">
        <v>20574912.370000001</v>
      </c>
      <c r="L576" s="34">
        <v>1919059.63</v>
      </c>
      <c r="M576" s="34">
        <v>8440885.5700000003</v>
      </c>
      <c r="N576" s="34">
        <v>2631109.17</v>
      </c>
      <c r="O576" s="34">
        <v>21078104.640000004</v>
      </c>
      <c r="P576" s="34">
        <v>-198328.14</v>
      </c>
      <c r="Q576" s="34">
        <v>28453941.91</v>
      </c>
      <c r="R576" s="34">
        <v>5020594.1100000003</v>
      </c>
      <c r="S576" s="34">
        <v>665382904.56999993</v>
      </c>
      <c r="T576" s="34">
        <v>13737412.660000002</v>
      </c>
      <c r="U576" s="34">
        <v>45998</v>
      </c>
      <c r="V576" s="34">
        <v>58954.1</v>
      </c>
      <c r="W576" s="14">
        <v>210</v>
      </c>
      <c r="X576" s="34">
        <v>0</v>
      </c>
      <c r="Y576" s="29">
        <f t="shared" si="9"/>
        <v>902593521.30999994</v>
      </c>
      <c r="AA576" s="34"/>
      <c r="AC576" s="34"/>
    </row>
    <row r="577" spans="1:29" x14ac:dyDescent="0.3">
      <c r="A577" s="15">
        <v>42339</v>
      </c>
      <c r="B577" s="6">
        <f t="shared" si="10"/>
        <v>20423</v>
      </c>
      <c r="C577" s="34">
        <v>94950761.684499994</v>
      </c>
      <c r="D577" s="34">
        <v>175572450.51549998</v>
      </c>
      <c r="E577" s="34">
        <v>4797669.68</v>
      </c>
      <c r="F577" s="34">
        <v>3678450.71</v>
      </c>
      <c r="G577" s="34">
        <v>54945792.609999999</v>
      </c>
      <c r="H577" s="34">
        <v>5568924.2199999997</v>
      </c>
      <c r="I577" s="34">
        <v>18734528.990000002</v>
      </c>
      <c r="J577" s="34">
        <v>1415154.3199999998</v>
      </c>
      <c r="K577" s="34">
        <v>17956948.039999995</v>
      </c>
      <c r="L577" s="34">
        <v>1864019.16</v>
      </c>
      <c r="M577" s="34">
        <v>7129297.7300000004</v>
      </c>
      <c r="N577" s="34">
        <v>5144270.0200000005</v>
      </c>
      <c r="O577" s="34">
        <v>19139583.800000001</v>
      </c>
      <c r="P577" s="34">
        <v>168209.48</v>
      </c>
      <c r="Q577" s="34">
        <v>28453941.91</v>
      </c>
      <c r="R577" s="34">
        <v>5159981.7699999986</v>
      </c>
      <c r="S577" s="34">
        <v>649485006.33999991</v>
      </c>
      <c r="T577" s="34">
        <v>14137280.649999999</v>
      </c>
      <c r="U577" s="34">
        <v>74643</v>
      </c>
      <c r="V577" s="34">
        <v>45377.86</v>
      </c>
      <c r="W577" s="14">
        <v>3230</v>
      </c>
      <c r="X577" s="34">
        <v>0</v>
      </c>
      <c r="Y577" s="29">
        <f t="shared" si="9"/>
        <v>1108425522.49</v>
      </c>
      <c r="AA577" s="34"/>
      <c r="AC577" s="34"/>
    </row>
    <row r="578" spans="1:29" x14ac:dyDescent="0.3">
      <c r="A578" s="15">
        <v>42370</v>
      </c>
      <c r="B578" s="6">
        <f t="shared" si="10"/>
        <v>20454</v>
      </c>
      <c r="C578" s="34">
        <v>66347473.759999998</v>
      </c>
      <c r="D578" s="34">
        <v>125006608.84</v>
      </c>
      <c r="E578" s="34">
        <v>3085809.39</v>
      </c>
      <c r="F578" s="34">
        <v>3044021.38</v>
      </c>
      <c r="G578" s="34">
        <v>49237470.520000003</v>
      </c>
      <c r="H578" s="34">
        <v>5146776.6099999994</v>
      </c>
      <c r="I578" s="34">
        <v>21705227.109999999</v>
      </c>
      <c r="J578" s="34">
        <v>1194193.2300000002</v>
      </c>
      <c r="K578" s="34">
        <v>20338544.189999998</v>
      </c>
      <c r="L578" s="34">
        <v>1765570.63</v>
      </c>
      <c r="M578" s="34">
        <v>8105623.0599999996</v>
      </c>
      <c r="N578" s="34">
        <v>6389542.419999999</v>
      </c>
      <c r="O578" s="34">
        <v>27670660.400000002</v>
      </c>
      <c r="P578" s="34">
        <v>-835.2100000000014</v>
      </c>
      <c r="Q578" s="34">
        <v>28453941.91</v>
      </c>
      <c r="R578" s="34">
        <v>7518216.8299999991</v>
      </c>
      <c r="S578" s="34">
        <v>869837506.12000012</v>
      </c>
      <c r="T578" s="34">
        <v>16161692.300000003</v>
      </c>
      <c r="U578" s="34">
        <v>100544</v>
      </c>
      <c r="V578" s="34">
        <v>40414.49</v>
      </c>
      <c r="W578" s="14">
        <v>711.71</v>
      </c>
      <c r="X578" s="34">
        <v>0</v>
      </c>
      <c r="Y578" s="29">
        <f t="shared" si="9"/>
        <v>1261149713.6900001</v>
      </c>
      <c r="AA578" s="34"/>
      <c r="AC578" s="34"/>
    </row>
    <row r="579" spans="1:29" x14ac:dyDescent="0.3">
      <c r="A579" s="15">
        <v>42401</v>
      </c>
      <c r="B579" s="6">
        <f t="shared" si="10"/>
        <v>20485</v>
      </c>
      <c r="C579" s="34">
        <v>17027850.276000001</v>
      </c>
      <c r="D579" s="34">
        <v>32608937.383999996</v>
      </c>
      <c r="E579" s="34">
        <v>3077004.8200000003</v>
      </c>
      <c r="F579" s="34">
        <v>4042474.2799999993</v>
      </c>
      <c r="G579" s="34">
        <v>55416697.850000001</v>
      </c>
      <c r="H579" s="34">
        <v>5461147.04</v>
      </c>
      <c r="I579" s="34">
        <v>18714938.259999998</v>
      </c>
      <c r="J579" s="34">
        <v>1335495.5499999998</v>
      </c>
      <c r="K579" s="34">
        <v>21336305.210000001</v>
      </c>
      <c r="L579" s="34">
        <v>1700722.62</v>
      </c>
      <c r="M579" s="34">
        <v>7143001.1699999999</v>
      </c>
      <c r="N579" s="34">
        <v>7953095.7800000003</v>
      </c>
      <c r="O579" s="34">
        <v>19105966.369999997</v>
      </c>
      <c r="P579" s="34">
        <v>30985.02</v>
      </c>
      <c r="Q579" s="34">
        <v>28453941.91</v>
      </c>
      <c r="R579" s="34">
        <v>3554110.7</v>
      </c>
      <c r="S579" s="34">
        <v>579440564.81999993</v>
      </c>
      <c r="T579" s="34">
        <v>11749100.610000001</v>
      </c>
      <c r="U579" s="34">
        <v>54350</v>
      </c>
      <c r="V579" s="34">
        <v>39139.26</v>
      </c>
      <c r="W579" s="14">
        <v>1450</v>
      </c>
      <c r="X579" s="34">
        <v>0</v>
      </c>
      <c r="Y579" s="29">
        <f t="shared" si="9"/>
        <v>818247278.92999995</v>
      </c>
      <c r="AA579" s="34"/>
      <c r="AC579" s="34"/>
    </row>
    <row r="580" spans="1:29" x14ac:dyDescent="0.3">
      <c r="A580" s="15">
        <v>42430</v>
      </c>
      <c r="B580" s="6">
        <f t="shared" si="10"/>
        <v>20514</v>
      </c>
      <c r="C580" s="34">
        <v>90353640.850500003</v>
      </c>
      <c r="D580" s="34">
        <v>159915778.5995</v>
      </c>
      <c r="E580" s="34">
        <v>16413647.600000001</v>
      </c>
      <c r="F580" s="34">
        <v>3091126.81</v>
      </c>
      <c r="G580" s="34">
        <v>45138370.960000001</v>
      </c>
      <c r="H580" s="34">
        <v>4929600.0999999996</v>
      </c>
      <c r="I580" s="34">
        <v>22324096.279999997</v>
      </c>
      <c r="J580" s="34">
        <v>1458311.7999999998</v>
      </c>
      <c r="K580" s="34">
        <v>27736342.84</v>
      </c>
      <c r="L580" s="34">
        <v>1987729.43</v>
      </c>
      <c r="M580" s="34">
        <v>7732467.4000000004</v>
      </c>
      <c r="N580" s="34">
        <v>12227113.07</v>
      </c>
      <c r="O580" s="34">
        <v>19155936.009999998</v>
      </c>
      <c r="P580" s="34">
        <v>5318.71</v>
      </c>
      <c r="Q580" s="34">
        <v>28453941.91</v>
      </c>
      <c r="R580" s="34">
        <v>4842386.28</v>
      </c>
      <c r="S580" s="34">
        <v>635260285.2299999</v>
      </c>
      <c r="T580" s="34">
        <v>13341325.670000002</v>
      </c>
      <c r="U580" s="34">
        <v>60029.48</v>
      </c>
      <c r="V580" s="34">
        <v>47576.09</v>
      </c>
      <c r="W580" s="14">
        <v>25693.82</v>
      </c>
      <c r="X580" s="34">
        <v>130.69999999999999</v>
      </c>
      <c r="Y580" s="29">
        <f t="shared" si="9"/>
        <v>1094500849.6399996</v>
      </c>
      <c r="AA580" s="34"/>
      <c r="AC580" s="34"/>
    </row>
    <row r="581" spans="1:29" x14ac:dyDescent="0.3">
      <c r="A581" s="15">
        <v>42461</v>
      </c>
      <c r="B581" s="6">
        <f t="shared" si="10"/>
        <v>20545</v>
      </c>
      <c r="C581" s="34">
        <v>191435799.405</v>
      </c>
      <c r="D581" s="34">
        <v>334788085.505</v>
      </c>
      <c r="E581" s="34">
        <v>260961640.67999998</v>
      </c>
      <c r="F581" s="34">
        <v>9793979.5700000003</v>
      </c>
      <c r="G581" s="34">
        <v>57435098.729999997</v>
      </c>
      <c r="H581" s="34">
        <v>5849238.8699999992</v>
      </c>
      <c r="I581" s="34">
        <v>20579242.529999997</v>
      </c>
      <c r="J581" s="34">
        <v>1221388.7899999998</v>
      </c>
      <c r="K581" s="34">
        <v>32896373.41</v>
      </c>
      <c r="L581" s="34">
        <v>2366436.7200000002</v>
      </c>
      <c r="M581" s="34">
        <v>8185331.8099999996</v>
      </c>
      <c r="N581" s="34">
        <v>66052056.170000002</v>
      </c>
      <c r="O581" s="34">
        <v>31356773.02</v>
      </c>
      <c r="P581" s="34">
        <v>7634.3699999999981</v>
      </c>
      <c r="Q581" s="34">
        <v>28453941.91</v>
      </c>
      <c r="R581" s="34">
        <v>5585861.4000000004</v>
      </c>
      <c r="S581" s="34">
        <v>727974077.87</v>
      </c>
      <c r="T581" s="34">
        <v>17189526.77</v>
      </c>
      <c r="U581" s="34">
        <v>67879</v>
      </c>
      <c r="V581" s="34">
        <v>14998.99</v>
      </c>
      <c r="W581" s="14">
        <v>250</v>
      </c>
      <c r="X581" s="34">
        <v>0</v>
      </c>
      <c r="Y581" s="29">
        <f t="shared" si="9"/>
        <v>1802215615.5199997</v>
      </c>
      <c r="AA581" s="34"/>
      <c r="AC581" s="34"/>
    </row>
    <row r="582" spans="1:29" x14ac:dyDescent="0.3">
      <c r="A582" s="15">
        <v>42491</v>
      </c>
      <c r="B582" s="6">
        <f t="shared" si="10"/>
        <v>20575</v>
      </c>
      <c r="C582" s="34">
        <v>20834948.226500001</v>
      </c>
      <c r="D582" s="34">
        <v>33181916.5735</v>
      </c>
      <c r="E582" s="34">
        <v>13789998.709999999</v>
      </c>
      <c r="F582" s="34">
        <v>2268865.5099999998</v>
      </c>
      <c r="G582" s="34">
        <v>54315510.130000003</v>
      </c>
      <c r="H582" s="34">
        <v>5564000.7199999997</v>
      </c>
      <c r="I582" s="34">
        <v>23833715.139999997</v>
      </c>
      <c r="J582" s="34">
        <v>1908655.48</v>
      </c>
      <c r="K582" s="34">
        <v>21759440.489999998</v>
      </c>
      <c r="L582" s="34">
        <v>2135649.67</v>
      </c>
      <c r="M582" s="34">
        <v>9378889.1999999993</v>
      </c>
      <c r="N582" s="34">
        <v>30445458.349999998</v>
      </c>
      <c r="O582" s="34">
        <v>63429376.249999993</v>
      </c>
      <c r="P582" s="34">
        <v>18528.75</v>
      </c>
      <c r="Q582" s="34">
        <v>28453941.91</v>
      </c>
      <c r="R582" s="34">
        <v>5400980.1300000008</v>
      </c>
      <c r="S582" s="34">
        <v>685464196.04000008</v>
      </c>
      <c r="T582" s="34">
        <v>12043381.809999999</v>
      </c>
      <c r="U582" s="34">
        <v>55817</v>
      </c>
      <c r="V582" s="34">
        <v>49117</v>
      </c>
      <c r="W582" s="14">
        <v>60</v>
      </c>
      <c r="X582" s="34">
        <v>0</v>
      </c>
      <c r="Y582" s="29">
        <f t="shared" si="9"/>
        <v>1014332447.0899999</v>
      </c>
      <c r="AA582" s="34"/>
      <c r="AC582" s="34"/>
    </row>
    <row r="583" spans="1:29" x14ac:dyDescent="0.3">
      <c r="A583" s="15">
        <v>42522</v>
      </c>
      <c r="B583" s="6">
        <f t="shared" si="10"/>
        <v>20606</v>
      </c>
      <c r="C583" s="34">
        <v>142621146.789</v>
      </c>
      <c r="D583" s="34">
        <v>255791577.33100003</v>
      </c>
      <c r="E583" s="34">
        <v>7414687.290000001</v>
      </c>
      <c r="F583" s="34">
        <v>8783614.8000000007</v>
      </c>
      <c r="G583" s="34">
        <v>58521617.960000001</v>
      </c>
      <c r="H583" s="34">
        <v>5927598.5599999996</v>
      </c>
      <c r="I583" s="34">
        <v>22450789.440000001</v>
      </c>
      <c r="J583" s="34">
        <v>1730249.1099999999</v>
      </c>
      <c r="K583" s="34">
        <v>23750106.620000001</v>
      </c>
      <c r="L583" s="34">
        <v>1999329.97</v>
      </c>
      <c r="M583" s="34">
        <v>8889462.5299999993</v>
      </c>
      <c r="N583" s="34">
        <v>4796619.7700000005</v>
      </c>
      <c r="O583" s="34">
        <v>67479954.469999999</v>
      </c>
      <c r="P583" s="34">
        <v>9062.73</v>
      </c>
      <c r="Q583" s="34">
        <v>28453941.91</v>
      </c>
      <c r="R583" s="34">
        <v>5244267.379999998</v>
      </c>
      <c r="S583" s="34">
        <v>686261685.34000003</v>
      </c>
      <c r="T583" s="34">
        <v>14739942.549999999</v>
      </c>
      <c r="U583" s="34">
        <v>39594</v>
      </c>
      <c r="V583" s="34">
        <v>63004.46</v>
      </c>
      <c r="W583" s="14">
        <v>105370</v>
      </c>
      <c r="X583" s="34">
        <v>70</v>
      </c>
      <c r="Y583" s="29">
        <f t="shared" si="9"/>
        <v>1345073693.01</v>
      </c>
      <c r="AA583" s="34"/>
      <c r="AC583" s="34"/>
    </row>
    <row r="584" spans="1:29" x14ac:dyDescent="0.3">
      <c r="A584" s="15">
        <v>42552</v>
      </c>
      <c r="B584" s="6">
        <f t="shared" si="10"/>
        <v>20636</v>
      </c>
      <c r="C584" s="34">
        <v>563146.97950000316</v>
      </c>
      <c r="D584" s="34">
        <v>55737626.950500004</v>
      </c>
      <c r="E584" s="34">
        <v>1034915.9199999999</v>
      </c>
      <c r="F584" s="34">
        <v>1101970.6399999997</v>
      </c>
      <c r="G584" s="34">
        <v>61933392.859999999</v>
      </c>
      <c r="H584" s="34">
        <v>6176013.7399999993</v>
      </c>
      <c r="I584" s="34">
        <v>22817100.759999998</v>
      </c>
      <c r="J584" s="34">
        <v>1620533.0700000003</v>
      </c>
      <c r="K584" s="34">
        <v>23759698.380000003</v>
      </c>
      <c r="L584" s="34">
        <v>2072485.89</v>
      </c>
      <c r="M584" s="34">
        <v>8384359.8700000001</v>
      </c>
      <c r="N584" s="34">
        <v>5531527.1299999999</v>
      </c>
      <c r="O584" s="34">
        <v>32544699.300000001</v>
      </c>
      <c r="P584" s="34">
        <v>11631480.139999997</v>
      </c>
      <c r="Q584" s="34">
        <v>28453941.91</v>
      </c>
      <c r="R584" s="34">
        <v>7086364.2800000003</v>
      </c>
      <c r="S584" s="34">
        <v>742662173.05000019</v>
      </c>
      <c r="T584" s="34">
        <v>16273978.16</v>
      </c>
      <c r="U584" s="34">
        <v>58414</v>
      </c>
      <c r="V584" s="34">
        <v>60357.87</v>
      </c>
      <c r="W584" s="14">
        <v>97603.55</v>
      </c>
      <c r="X584" s="34">
        <v>401.8</v>
      </c>
      <c r="Y584" s="29">
        <f t="shared" si="9"/>
        <v>1029602186.25</v>
      </c>
      <c r="AA584" s="34"/>
      <c r="AC584" s="34"/>
    </row>
    <row r="585" spans="1:29" x14ac:dyDescent="0.3">
      <c r="A585" s="15">
        <v>42583</v>
      </c>
      <c r="B585" s="6">
        <f t="shared" si="10"/>
        <v>20667</v>
      </c>
      <c r="C585" s="34">
        <v>14011636.642000001</v>
      </c>
      <c r="D585" s="34">
        <v>28050993.478</v>
      </c>
      <c r="E585" s="34">
        <v>1192354.0999999994</v>
      </c>
      <c r="F585" s="34">
        <v>2729218.55</v>
      </c>
      <c r="G585" s="34">
        <v>56224386.210000001</v>
      </c>
      <c r="H585" s="34">
        <v>5690960.6299999999</v>
      </c>
      <c r="I585" s="34">
        <v>22092591.219999999</v>
      </c>
      <c r="J585" s="34">
        <v>1491755.68</v>
      </c>
      <c r="K585" s="34">
        <v>20870992.98</v>
      </c>
      <c r="L585" s="34">
        <v>1937648.15</v>
      </c>
      <c r="M585" s="34">
        <v>8323645.3899999997</v>
      </c>
      <c r="N585" s="34">
        <v>7258997.25</v>
      </c>
      <c r="O585" s="34">
        <v>20917725.389999993</v>
      </c>
      <c r="P585" s="34">
        <v>14253886.299999999</v>
      </c>
      <c r="Q585" s="34">
        <v>28453941.91</v>
      </c>
      <c r="R585" s="34">
        <v>4557675.2799999993</v>
      </c>
      <c r="S585" s="34">
        <v>696480971.60000002</v>
      </c>
      <c r="T585" s="34">
        <v>13544982.07</v>
      </c>
      <c r="U585" s="34">
        <v>55545</v>
      </c>
      <c r="V585" s="34">
        <v>45421.95</v>
      </c>
      <c r="W585" s="14">
        <v>18560</v>
      </c>
      <c r="X585" s="34">
        <v>0</v>
      </c>
      <c r="Y585" s="29">
        <f t="shared" si="9"/>
        <v>948203889.78000009</v>
      </c>
      <c r="AA585" s="34"/>
      <c r="AC585" s="34"/>
    </row>
    <row r="586" spans="1:29" x14ac:dyDescent="0.3">
      <c r="A586" s="15">
        <v>42614</v>
      </c>
      <c r="B586" s="6">
        <f t="shared" si="10"/>
        <v>20698</v>
      </c>
      <c r="C586" s="34">
        <v>153634417.85499999</v>
      </c>
      <c r="D586" s="34">
        <v>251215505.785</v>
      </c>
      <c r="E586" s="34">
        <v>-1840897.4400000009</v>
      </c>
      <c r="F586" s="34">
        <v>5898000.1399999987</v>
      </c>
      <c r="G586" s="34">
        <v>59249930.609999999</v>
      </c>
      <c r="H586" s="34">
        <v>6021977.1600000001</v>
      </c>
      <c r="I586" s="34">
        <v>21926693.940000001</v>
      </c>
      <c r="J586" s="34">
        <v>1713352.2000000002</v>
      </c>
      <c r="K586" s="34">
        <v>23079017.000000004</v>
      </c>
      <c r="L586" s="34">
        <v>2154801.56</v>
      </c>
      <c r="M586" s="34">
        <v>8488810.6400000006</v>
      </c>
      <c r="N586" s="34">
        <v>4840297.0600000005</v>
      </c>
      <c r="O586" s="34">
        <v>27645747.54999999</v>
      </c>
      <c r="P586" s="34">
        <v>102781.81999999999</v>
      </c>
      <c r="Q586" s="34">
        <v>35458328.990000002</v>
      </c>
      <c r="R586" s="34">
        <v>5379208.1600000011</v>
      </c>
      <c r="S586" s="34">
        <v>692034962.50999987</v>
      </c>
      <c r="T586" s="34">
        <v>14918182.24</v>
      </c>
      <c r="U586" s="34">
        <v>71772</v>
      </c>
      <c r="V586" s="34">
        <v>55183.91</v>
      </c>
      <c r="W586" s="14">
        <v>3180</v>
      </c>
      <c r="X586" s="34">
        <v>0</v>
      </c>
      <c r="Y586" s="29">
        <f t="shared" si="9"/>
        <v>1312051253.6900001</v>
      </c>
      <c r="AA586" s="34"/>
      <c r="AC586" s="34"/>
    </row>
    <row r="587" spans="1:29" x14ac:dyDescent="0.3">
      <c r="A587" s="15">
        <v>42644</v>
      </c>
      <c r="B587" s="6">
        <f t="shared" si="10"/>
        <v>20728</v>
      </c>
      <c r="C587" s="34">
        <v>22681911.940999985</v>
      </c>
      <c r="D587" s="34">
        <v>43544291.848999977</v>
      </c>
      <c r="E587" s="34">
        <v>4654647.0300000105</v>
      </c>
      <c r="F587" s="34">
        <v>-485504.77999999933</v>
      </c>
      <c r="G587" s="34">
        <v>49469794.460000001</v>
      </c>
      <c r="H587" s="34">
        <v>5261921.54</v>
      </c>
      <c r="I587" s="34">
        <v>22686040.93</v>
      </c>
      <c r="J587" s="34">
        <v>1540485.3200000003</v>
      </c>
      <c r="K587" s="34">
        <v>22054731.473999999</v>
      </c>
      <c r="L587" s="34">
        <v>2022267</v>
      </c>
      <c r="M587" s="34">
        <v>8370962.1799999997</v>
      </c>
      <c r="N587" s="34">
        <v>5206740.12</v>
      </c>
      <c r="O587" s="34">
        <v>30766172.320000004</v>
      </c>
      <c r="P587" s="34">
        <v>17047.3</v>
      </c>
      <c r="Q587" s="34">
        <v>27826966.899999999</v>
      </c>
      <c r="R587" s="34">
        <v>5382679.2199999997</v>
      </c>
      <c r="S587" s="34">
        <v>715111357.66000009</v>
      </c>
      <c r="T587" s="34">
        <v>17092722.539999995</v>
      </c>
      <c r="U587" s="34">
        <v>51265.4</v>
      </c>
      <c r="V587" s="34">
        <v>52830.54</v>
      </c>
      <c r="W587" s="14">
        <v>3012.6800000000003</v>
      </c>
      <c r="X587" s="34">
        <v>0</v>
      </c>
      <c r="Y587" s="29">
        <f t="shared" si="9"/>
        <v>983312343.62399995</v>
      </c>
      <c r="AA587" s="34"/>
      <c r="AC587" s="34"/>
    </row>
    <row r="588" spans="1:29" x14ac:dyDescent="0.3">
      <c r="A588" s="15">
        <v>42675</v>
      </c>
      <c r="B588" s="6">
        <f t="shared" si="10"/>
        <v>20759</v>
      </c>
      <c r="C588" s="34">
        <v>13754235.903000001</v>
      </c>
      <c r="D588" s="34">
        <v>-3043000.8029999994</v>
      </c>
      <c r="E588" s="34">
        <v>3135346.1799999992</v>
      </c>
      <c r="F588" s="34">
        <v>1691172.59</v>
      </c>
      <c r="G588" s="34">
        <v>64484665.450000003</v>
      </c>
      <c r="H588" s="34">
        <v>6386816.0200000005</v>
      </c>
      <c r="I588" s="34">
        <v>23674133.210000005</v>
      </c>
      <c r="J588" s="34">
        <v>1499230.2399999998</v>
      </c>
      <c r="K588" s="34">
        <v>21486899.370000001</v>
      </c>
      <c r="L588" s="34">
        <v>1848588.21</v>
      </c>
      <c r="M588" s="34">
        <v>9365813.7899999991</v>
      </c>
      <c r="N588" s="34">
        <v>3484969.72</v>
      </c>
      <c r="O588" s="34">
        <v>25014304.479999997</v>
      </c>
      <c r="P588" s="34">
        <v>-314787.34999999992</v>
      </c>
      <c r="Q588" s="34">
        <v>27826966.899999999</v>
      </c>
      <c r="R588" s="34">
        <v>5032604.2799999993</v>
      </c>
      <c r="S588" s="34">
        <v>688893233.76999998</v>
      </c>
      <c r="T588" s="34">
        <v>12634372.029999999</v>
      </c>
      <c r="U588" s="34">
        <v>46740.04</v>
      </c>
      <c r="V588" s="34">
        <v>47884</v>
      </c>
      <c r="W588" s="14">
        <v>5310</v>
      </c>
      <c r="X588" s="34">
        <v>4817.5200000000004</v>
      </c>
      <c r="Y588" s="29">
        <f t="shared" si="9"/>
        <v>906960315.54999995</v>
      </c>
      <c r="AA588" s="34"/>
      <c r="AC588" s="34"/>
    </row>
    <row r="589" spans="1:29" x14ac:dyDescent="0.3">
      <c r="A589" s="15">
        <v>42705</v>
      </c>
      <c r="B589" s="6">
        <f t="shared" si="10"/>
        <v>20789</v>
      </c>
      <c r="C589" s="34">
        <v>114361221.79350001</v>
      </c>
      <c r="D589" s="34">
        <v>259037218.9465</v>
      </c>
      <c r="E589" s="34">
        <v>4722485.0999999996</v>
      </c>
      <c r="F589" s="34">
        <v>1102003.29</v>
      </c>
      <c r="G589" s="34">
        <v>51624671.120000005</v>
      </c>
      <c r="H589" s="34">
        <v>5399196.3799999999</v>
      </c>
      <c r="I589" s="34">
        <v>17479894.740000002</v>
      </c>
      <c r="J589" s="34">
        <v>1354699.1099999999</v>
      </c>
      <c r="K589" s="34">
        <v>18750705.779999997</v>
      </c>
      <c r="L589" s="34">
        <v>1749494.5</v>
      </c>
      <c r="M589" s="34">
        <v>7944125.4199999999</v>
      </c>
      <c r="N589" s="34">
        <v>7224529.1400000006</v>
      </c>
      <c r="O589" s="34">
        <v>22397436.960000005</v>
      </c>
      <c r="P589" s="34">
        <v>16056.49</v>
      </c>
      <c r="Q589" s="34">
        <v>27826966.899999999</v>
      </c>
      <c r="R589" s="34">
        <v>5979717.9799999986</v>
      </c>
      <c r="S589" s="34">
        <v>671592136.56000006</v>
      </c>
      <c r="T589" s="34">
        <v>15298658.4</v>
      </c>
      <c r="U589" s="34">
        <v>40225</v>
      </c>
      <c r="V589" s="34">
        <v>59016.57</v>
      </c>
      <c r="W589" s="14">
        <v>3870</v>
      </c>
      <c r="X589" s="34">
        <v>-4422.63</v>
      </c>
      <c r="Y589" s="29">
        <f t="shared" si="9"/>
        <v>1233959907.55</v>
      </c>
      <c r="AA589" s="34"/>
      <c r="AC589" s="34"/>
    </row>
    <row r="590" spans="1:29" x14ac:dyDescent="0.3">
      <c r="A590" s="15">
        <v>42736</v>
      </c>
      <c r="B590" s="6">
        <f t="shared" si="10"/>
        <v>20820</v>
      </c>
      <c r="C590" s="34">
        <v>72052829.845999986</v>
      </c>
      <c r="D590" s="34">
        <v>205518446.56400001</v>
      </c>
      <c r="E590" s="34">
        <v>3111769.24</v>
      </c>
      <c r="F590" s="34">
        <v>98616.909999999974</v>
      </c>
      <c r="G590" s="34">
        <v>58775042.790000007</v>
      </c>
      <c r="H590" s="34">
        <v>5880290.7999999998</v>
      </c>
      <c r="I590" s="34">
        <v>21370945.209999997</v>
      </c>
      <c r="J590" s="34">
        <v>1464885.5199999998</v>
      </c>
      <c r="K590" s="34">
        <v>20932736.549999997</v>
      </c>
      <c r="L590" s="34">
        <v>1745245.12</v>
      </c>
      <c r="M590" s="34">
        <v>8980292.0500000007</v>
      </c>
      <c r="N590" s="34">
        <v>8112880.0299999993</v>
      </c>
      <c r="O590" s="34">
        <v>29619809.82</v>
      </c>
      <c r="P590" s="34">
        <v>27122.010000000002</v>
      </c>
      <c r="Q590" s="34">
        <v>27826966.899999999</v>
      </c>
      <c r="R590" s="34">
        <v>7373752.2400000012</v>
      </c>
      <c r="S590" s="34">
        <v>904860780.57000017</v>
      </c>
      <c r="T590" s="34">
        <v>16234296.070000002</v>
      </c>
      <c r="U590" s="34">
        <v>42013</v>
      </c>
      <c r="V590" s="34">
        <v>59663.93</v>
      </c>
      <c r="W590" s="14">
        <v>1670</v>
      </c>
      <c r="X590" s="34">
        <v>0</v>
      </c>
      <c r="Y590" s="29">
        <f t="shared" si="9"/>
        <v>1394090055.1700001</v>
      </c>
      <c r="AA590" s="34"/>
      <c r="AC590" s="34"/>
    </row>
    <row r="591" spans="1:29" x14ac:dyDescent="0.3">
      <c r="A591" s="15">
        <v>42767</v>
      </c>
      <c r="B591" s="6">
        <f t="shared" si="10"/>
        <v>20851</v>
      </c>
      <c r="C591" s="34">
        <v>16058416.477500001</v>
      </c>
      <c r="D591" s="34">
        <v>25386784.422499999</v>
      </c>
      <c r="E591" s="34">
        <v>3168410.4899999998</v>
      </c>
      <c r="F591" s="34">
        <v>1478651.3599999999</v>
      </c>
      <c r="G591" s="34">
        <v>49866260.309999995</v>
      </c>
      <c r="H591" s="34">
        <v>4743774</v>
      </c>
      <c r="I591" s="34">
        <v>23471656.920000002</v>
      </c>
      <c r="J591" s="34">
        <v>1400460.5599999998</v>
      </c>
      <c r="K591" s="34">
        <v>22931497.219999999</v>
      </c>
      <c r="L591" s="34">
        <v>1798174.67</v>
      </c>
      <c r="M591" s="34">
        <v>7473776.8899999997</v>
      </c>
      <c r="N591" s="34">
        <v>7269378.6100000013</v>
      </c>
      <c r="O591" s="34">
        <v>19437185.940000001</v>
      </c>
      <c r="P591" s="34">
        <v>1065686.3599999999</v>
      </c>
      <c r="Q591" s="34">
        <v>27826966.899999999</v>
      </c>
      <c r="R591" s="34">
        <v>4169173.5200000005</v>
      </c>
      <c r="S591" s="34">
        <v>616905381.18999994</v>
      </c>
      <c r="T591" s="34">
        <v>12137153.150000002</v>
      </c>
      <c r="U591" s="34">
        <v>46538</v>
      </c>
      <c r="V591" s="34">
        <v>56295.9</v>
      </c>
      <c r="W591" s="14">
        <v>1260</v>
      </c>
      <c r="X591" s="34">
        <v>0</v>
      </c>
      <c r="Y591" s="29">
        <f t="shared" si="9"/>
        <v>846692882.88999987</v>
      </c>
      <c r="AA591" s="34"/>
      <c r="AC591" s="34"/>
    </row>
    <row r="592" spans="1:29" x14ac:dyDescent="0.3">
      <c r="A592" s="15">
        <v>42795</v>
      </c>
      <c r="B592" s="6">
        <f t="shared" si="10"/>
        <v>20879</v>
      </c>
      <c r="C592" s="34">
        <v>76180682.48300001</v>
      </c>
      <c r="D592" s="34">
        <v>123456773.46700001</v>
      </c>
      <c r="E592" s="34">
        <v>12914041.310000001</v>
      </c>
      <c r="F592" s="34">
        <v>691721.34000000008</v>
      </c>
      <c r="G592" s="34">
        <v>47952929.140000001</v>
      </c>
      <c r="H592" s="34">
        <v>5281544.8500000006</v>
      </c>
      <c r="I592" s="34">
        <v>14700573.91</v>
      </c>
      <c r="J592" s="34">
        <v>1227996.9099999999</v>
      </c>
      <c r="K592" s="34">
        <v>26437365.030000001</v>
      </c>
      <c r="L592" s="34">
        <v>1897475.09</v>
      </c>
      <c r="M592" s="34">
        <v>8153129.0700000003</v>
      </c>
      <c r="N592" s="34">
        <v>12022476.32</v>
      </c>
      <c r="O592" s="34">
        <v>21448296.610000003</v>
      </c>
      <c r="P592" s="34">
        <v>105249.28</v>
      </c>
      <c r="Q592" s="34">
        <v>27826966.899999999</v>
      </c>
      <c r="R592" s="34">
        <v>4662123</v>
      </c>
      <c r="S592" s="34">
        <v>595514374.87000012</v>
      </c>
      <c r="T592" s="34">
        <v>13060739.17</v>
      </c>
      <c r="U592" s="34">
        <v>51648</v>
      </c>
      <c r="V592" s="34">
        <v>56768.32</v>
      </c>
      <c r="W592" s="14">
        <v>790</v>
      </c>
      <c r="X592" s="34">
        <v>80</v>
      </c>
      <c r="Y592" s="29">
        <f t="shared" si="9"/>
        <v>993643745.07000017</v>
      </c>
      <c r="AA592" s="34"/>
      <c r="AC592" s="34"/>
    </row>
    <row r="593" spans="1:29" x14ac:dyDescent="0.3">
      <c r="A593" s="15">
        <v>42826</v>
      </c>
      <c r="B593" s="6">
        <f t="shared" si="10"/>
        <v>20910</v>
      </c>
      <c r="C593" s="34">
        <v>224369867.1435</v>
      </c>
      <c r="D593" s="34">
        <v>392224154.09650004</v>
      </c>
      <c r="E593" s="34">
        <v>211139324.90000001</v>
      </c>
      <c r="F593" s="34">
        <v>-11526.73</v>
      </c>
      <c r="G593" s="34">
        <v>54618496.169999994</v>
      </c>
      <c r="H593" s="34">
        <v>5767359.1699999999</v>
      </c>
      <c r="I593" s="34">
        <v>21485886.559999995</v>
      </c>
      <c r="J593" s="34">
        <v>1285240.3399999999</v>
      </c>
      <c r="K593" s="34">
        <v>30749933.330000002</v>
      </c>
      <c r="L593" s="34">
        <v>2478138.09</v>
      </c>
      <c r="M593" s="34">
        <v>9391499.1899999995</v>
      </c>
      <c r="N593" s="34">
        <v>77677104.519999996</v>
      </c>
      <c r="O593" s="34">
        <v>29568146.520000003</v>
      </c>
      <c r="P593" s="34">
        <v>-495815.37000000005</v>
      </c>
      <c r="Q593" s="34">
        <v>27826966.899999999</v>
      </c>
      <c r="R593" s="34">
        <v>5490308.4799999995</v>
      </c>
      <c r="S593" s="34">
        <v>757299252.92999995</v>
      </c>
      <c r="T593" s="34">
        <v>17221418.839999996</v>
      </c>
      <c r="U593" s="34">
        <v>0</v>
      </c>
      <c r="V593" s="34">
        <v>61763.199999999997</v>
      </c>
      <c r="W593" s="14">
        <v>320</v>
      </c>
      <c r="X593" s="34">
        <v>0</v>
      </c>
      <c r="Y593" s="29">
        <f t="shared" si="9"/>
        <v>1868147838.2799997</v>
      </c>
      <c r="AA593" s="34"/>
      <c r="AC593" s="34"/>
    </row>
    <row r="594" spans="1:29" x14ac:dyDescent="0.3">
      <c r="A594" s="15">
        <v>42856</v>
      </c>
      <c r="B594" s="6">
        <f t="shared" si="10"/>
        <v>20940</v>
      </c>
      <c r="C594" s="34">
        <v>20825413.593000002</v>
      </c>
      <c r="D594" s="34">
        <v>31330791.256999999</v>
      </c>
      <c r="E594" s="34">
        <v>5810294.8999999994</v>
      </c>
      <c r="F594" s="34">
        <v>110218.97999999998</v>
      </c>
      <c r="G594" s="34">
        <v>59867888.810000002</v>
      </c>
      <c r="H594" s="34">
        <v>5883438.4400000004</v>
      </c>
      <c r="I594" s="34">
        <v>21754934.699999999</v>
      </c>
      <c r="J594" s="34">
        <v>1560209.8499999999</v>
      </c>
      <c r="K594" s="34">
        <v>21086998.360000003</v>
      </c>
      <c r="L594" s="34">
        <v>2036079.63</v>
      </c>
      <c r="M594" s="34">
        <v>9513515.2899999991</v>
      </c>
      <c r="N594" s="34">
        <v>28000056.830000002</v>
      </c>
      <c r="O594" s="34">
        <v>73999269.540000007</v>
      </c>
      <c r="P594" s="34">
        <v>833343.75999999989</v>
      </c>
      <c r="Q594" s="34">
        <v>27826966.899999999</v>
      </c>
      <c r="R594" s="34">
        <v>5735440.79</v>
      </c>
      <c r="S594" s="34">
        <v>729984618.01999986</v>
      </c>
      <c r="T594" s="34">
        <v>14217702.83</v>
      </c>
      <c r="U594" s="34">
        <v>75911</v>
      </c>
      <c r="V594" s="34">
        <v>59185.37</v>
      </c>
      <c r="W594" s="14">
        <v>950</v>
      </c>
      <c r="X594" s="34">
        <v>0</v>
      </c>
      <c r="Y594" s="29">
        <f t="shared" si="9"/>
        <v>1060513228.8499999</v>
      </c>
      <c r="AA594" s="34"/>
      <c r="AC594" s="34"/>
    </row>
    <row r="595" spans="1:29" x14ac:dyDescent="0.3">
      <c r="A595" s="15">
        <v>42887</v>
      </c>
      <c r="B595" s="6">
        <f t="shared" si="10"/>
        <v>20971</v>
      </c>
      <c r="C595" s="34">
        <v>142711326.53049999</v>
      </c>
      <c r="D595" s="34">
        <v>313763318.9795</v>
      </c>
      <c r="E595" s="34">
        <v>934276.03000000026</v>
      </c>
      <c r="F595" s="34">
        <v>499318.57999999996</v>
      </c>
      <c r="G595" s="34">
        <v>56028846.75</v>
      </c>
      <c r="H595" s="34">
        <v>5788022.7300000004</v>
      </c>
      <c r="I595" s="34">
        <v>23310970.969999999</v>
      </c>
      <c r="J595" s="34">
        <v>1758671.0899999999</v>
      </c>
      <c r="K595" s="34">
        <v>24603202.59</v>
      </c>
      <c r="L595" s="34">
        <v>2159060.1</v>
      </c>
      <c r="M595" s="34">
        <v>9832241.5199999996</v>
      </c>
      <c r="N595" s="34">
        <v>5878856.419999999</v>
      </c>
      <c r="O595" s="34">
        <v>49648117.039999999</v>
      </c>
      <c r="P595" s="34">
        <v>-55549.960000000006</v>
      </c>
      <c r="Q595" s="34">
        <v>27826966.899999999</v>
      </c>
      <c r="R595" s="34">
        <v>5780414.0699999994</v>
      </c>
      <c r="S595" s="34">
        <v>732406497.49000013</v>
      </c>
      <c r="T595" s="34">
        <v>14846370.020000001</v>
      </c>
      <c r="U595" s="34">
        <v>64634.37</v>
      </c>
      <c r="V595" s="34">
        <v>41364.53</v>
      </c>
      <c r="W595" s="14">
        <v>103615.94</v>
      </c>
      <c r="X595" s="34">
        <v>0</v>
      </c>
      <c r="Y595" s="29">
        <f t="shared" si="9"/>
        <v>1417930542.6899998</v>
      </c>
      <c r="AA595" s="34"/>
      <c r="AC595" s="34"/>
    </row>
    <row r="596" spans="1:29" x14ac:dyDescent="0.3">
      <c r="A596" s="15">
        <v>42917</v>
      </c>
      <c r="B596" s="6">
        <f t="shared" si="10"/>
        <v>21001</v>
      </c>
      <c r="C596" s="34">
        <v>34387391.383000001</v>
      </c>
      <c r="D596" s="34">
        <v>46869459.307000004</v>
      </c>
      <c r="E596" s="34">
        <v>1246319.57</v>
      </c>
      <c r="F596" s="34">
        <v>132610.29</v>
      </c>
      <c r="G596" s="34">
        <v>59996497.339999996</v>
      </c>
      <c r="H596" s="34">
        <v>6113353.1200000001</v>
      </c>
      <c r="I596" s="34">
        <v>22049448.560000002</v>
      </c>
      <c r="J596" s="34">
        <v>1723727.2700000003</v>
      </c>
      <c r="K596" s="34">
        <v>25156368.899999999</v>
      </c>
      <c r="L596" s="34">
        <v>2065527.35</v>
      </c>
      <c r="M596" s="34">
        <v>9657950.1699999999</v>
      </c>
      <c r="N596" s="34">
        <v>7706384.6100000003</v>
      </c>
      <c r="O596" s="34">
        <v>40217463.82</v>
      </c>
      <c r="P596" s="34">
        <v>15832376.520000001</v>
      </c>
      <c r="Q596" s="34">
        <v>27826966.899999999</v>
      </c>
      <c r="R596" s="34">
        <v>6149319.9800000004</v>
      </c>
      <c r="S596" s="34">
        <v>748690738.4000001</v>
      </c>
      <c r="T596" s="34">
        <v>16179575.199999999</v>
      </c>
      <c r="U596" s="34">
        <v>43365.82</v>
      </c>
      <c r="V596" s="34">
        <v>38985.35</v>
      </c>
      <c r="W596" s="14">
        <v>84390</v>
      </c>
      <c r="X596" s="34">
        <v>0</v>
      </c>
      <c r="Y596" s="29">
        <f t="shared" si="9"/>
        <v>1072168219.8600001</v>
      </c>
      <c r="AA596" s="34"/>
      <c r="AC596" s="34"/>
    </row>
    <row r="597" spans="1:29" x14ac:dyDescent="0.3">
      <c r="A597" s="15">
        <v>42948</v>
      </c>
      <c r="B597" s="6">
        <f t="shared" si="10"/>
        <v>21032</v>
      </c>
      <c r="C597" s="34">
        <v>-3408562.8864999972</v>
      </c>
      <c r="D597" s="34">
        <v>34331876.926499993</v>
      </c>
      <c r="E597" s="34">
        <v>1170034.4900000002</v>
      </c>
      <c r="F597" s="34">
        <v>381620.41000000003</v>
      </c>
      <c r="G597" s="34">
        <v>71254781.140000001</v>
      </c>
      <c r="H597" s="34">
        <v>6230794.9299999997</v>
      </c>
      <c r="I597" s="34">
        <v>24171551.470000003</v>
      </c>
      <c r="J597" s="34">
        <v>1537019.77</v>
      </c>
      <c r="K597" s="34">
        <v>25386773.91</v>
      </c>
      <c r="L597" s="34">
        <v>1871882.5</v>
      </c>
      <c r="M597" s="34">
        <v>9173011.3900000006</v>
      </c>
      <c r="N597" s="34">
        <v>5366898.05</v>
      </c>
      <c r="O597" s="34">
        <v>26938821.510000002</v>
      </c>
      <c r="P597" s="34">
        <v>9915858.6899999995</v>
      </c>
      <c r="Q597" s="34">
        <v>27826966.899999999</v>
      </c>
      <c r="R597" s="34">
        <v>4594870.4299999978</v>
      </c>
      <c r="S597" s="34">
        <v>718478581.86000001</v>
      </c>
      <c r="T597" s="34">
        <v>15414434.620000001</v>
      </c>
      <c r="U597" s="34">
        <v>28705</v>
      </c>
      <c r="V597" s="34">
        <v>33536.47</v>
      </c>
      <c r="W597" s="14">
        <v>24949.46</v>
      </c>
      <c r="X597" s="34">
        <v>0</v>
      </c>
      <c r="Y597" s="29">
        <f t="shared" si="9"/>
        <v>980724407.04000008</v>
      </c>
      <c r="AA597" s="34"/>
      <c r="AC597" s="34"/>
    </row>
    <row r="598" spans="1:29" x14ac:dyDescent="0.3">
      <c r="A598" s="15">
        <v>42979</v>
      </c>
      <c r="B598" s="6">
        <f t="shared" si="10"/>
        <v>21063</v>
      </c>
      <c r="C598" s="34">
        <v>153908132.00299999</v>
      </c>
      <c r="D598" s="34">
        <v>248734446.95700002</v>
      </c>
      <c r="E598" s="34">
        <v>623363.82999999891</v>
      </c>
      <c r="F598" s="34">
        <v>304827.49</v>
      </c>
      <c r="G598" s="34">
        <v>73523542.969999999</v>
      </c>
      <c r="H598" s="34">
        <v>5877605.4899999993</v>
      </c>
      <c r="I598" s="34">
        <v>21170080.91</v>
      </c>
      <c r="J598" s="34">
        <v>1657794.03</v>
      </c>
      <c r="K598" s="34">
        <v>26084467</v>
      </c>
      <c r="L598" s="34">
        <v>2110544.7200000002</v>
      </c>
      <c r="M598" s="34">
        <v>9162657.8200000003</v>
      </c>
      <c r="N598" s="34">
        <v>4239910.6100000003</v>
      </c>
      <c r="O598" s="34">
        <v>26460431.520000003</v>
      </c>
      <c r="P598" s="34">
        <v>2010.2800000000007</v>
      </c>
      <c r="Q598" s="34">
        <v>34633685.100000001</v>
      </c>
      <c r="R598" s="34">
        <v>5550167.870000001</v>
      </c>
      <c r="S598" s="34">
        <v>725172577.39999998</v>
      </c>
      <c r="T598" s="34">
        <v>21092477.290000003</v>
      </c>
      <c r="U598" s="34">
        <v>32405</v>
      </c>
      <c r="V598" s="34">
        <v>37887.61</v>
      </c>
      <c r="W598" s="14">
        <v>11990</v>
      </c>
      <c r="X598" s="34">
        <v>0</v>
      </c>
      <c r="Y598" s="29">
        <f t="shared" si="9"/>
        <v>1360391005.8999999</v>
      </c>
      <c r="AA598" s="34"/>
      <c r="AC598" s="34"/>
    </row>
    <row r="599" spans="1:29" x14ac:dyDescent="0.3">
      <c r="A599" s="15">
        <v>43009</v>
      </c>
      <c r="B599" s="6">
        <f t="shared" si="10"/>
        <v>21093</v>
      </c>
      <c r="C599" s="34">
        <v>19646596.791000009</v>
      </c>
      <c r="D599" s="34">
        <v>28975261.318999887</v>
      </c>
      <c r="E599" s="34">
        <v>1326290.4599999981</v>
      </c>
      <c r="F599" s="34">
        <v>1500552.54</v>
      </c>
      <c r="G599" s="34">
        <v>72265870.690000013</v>
      </c>
      <c r="H599" s="34">
        <v>5932485.3799999999</v>
      </c>
      <c r="I599" s="34">
        <v>22751484.169999998</v>
      </c>
      <c r="J599" s="34">
        <v>1404924.8300000003</v>
      </c>
      <c r="K599" s="34">
        <v>23800918.559999995</v>
      </c>
      <c r="L599" s="34">
        <v>1848999.85</v>
      </c>
      <c r="M599" s="34">
        <v>9721181.6999999993</v>
      </c>
      <c r="N599" s="34">
        <v>6009214.4800000004</v>
      </c>
      <c r="O599" s="34">
        <v>31574148.870000012</v>
      </c>
      <c r="P599" s="34">
        <v>114891.69000000003</v>
      </c>
      <c r="Q599" s="34">
        <v>28084466.09</v>
      </c>
      <c r="R599" s="34">
        <v>5371941.3000000007</v>
      </c>
      <c r="S599" s="34">
        <v>733842072.92999983</v>
      </c>
      <c r="T599" s="34">
        <v>20069684.970000003</v>
      </c>
      <c r="U599" s="34">
        <v>49068.4</v>
      </c>
      <c r="V599" s="34">
        <v>121011.97</v>
      </c>
      <c r="W599" s="14">
        <v>4400</v>
      </c>
      <c r="X599" s="34">
        <v>0</v>
      </c>
      <c r="Y599" s="29">
        <f t="shared" si="9"/>
        <v>1014415466.9899998</v>
      </c>
      <c r="AA599" s="34"/>
      <c r="AC599" s="34"/>
    </row>
    <row r="600" spans="1:29" x14ac:dyDescent="0.3">
      <c r="A600" s="15">
        <v>43040</v>
      </c>
      <c r="B600" s="6">
        <f t="shared" si="10"/>
        <v>21124</v>
      </c>
      <c r="C600" s="34">
        <v>14087842.231000001</v>
      </c>
      <c r="D600" s="34">
        <v>16218850.338999998</v>
      </c>
      <c r="E600" s="34">
        <v>985108.23000000045</v>
      </c>
      <c r="F600" s="34">
        <v>-2910978.09</v>
      </c>
      <c r="G600" s="34">
        <v>68272341.909999996</v>
      </c>
      <c r="H600" s="34">
        <v>5953617.4000000004</v>
      </c>
      <c r="I600" s="34">
        <v>17160039.359999999</v>
      </c>
      <c r="J600" s="34">
        <v>1490803.17</v>
      </c>
      <c r="K600" s="34">
        <v>26564512.699999996</v>
      </c>
      <c r="L600" s="34">
        <v>1896671.8</v>
      </c>
      <c r="M600" s="34">
        <v>10898294.109999999</v>
      </c>
      <c r="N600" s="34">
        <v>3576238.0399999996</v>
      </c>
      <c r="O600" s="34">
        <v>26367310.939999983</v>
      </c>
      <c r="P600" s="34">
        <v>261688.12</v>
      </c>
      <c r="Q600" s="34">
        <v>28084466.09</v>
      </c>
      <c r="R600" s="34">
        <v>5590722.5099999988</v>
      </c>
      <c r="S600" s="34">
        <v>716158221.0799998</v>
      </c>
      <c r="T600" s="34">
        <v>16565846.779999999</v>
      </c>
      <c r="U600" s="34">
        <v>29113.599999999999</v>
      </c>
      <c r="V600" s="34">
        <v>46406.879999999997</v>
      </c>
      <c r="W600" s="14">
        <v>1340</v>
      </c>
      <c r="X600" s="34">
        <v>0</v>
      </c>
      <c r="Y600" s="29">
        <f t="shared" si="9"/>
        <v>957298457.19999981</v>
      </c>
      <c r="AA600" s="34"/>
      <c r="AC600" s="34"/>
    </row>
    <row r="601" spans="1:29" x14ac:dyDescent="0.3">
      <c r="A601" s="15">
        <v>43070</v>
      </c>
      <c r="B601" s="6">
        <f t="shared" si="10"/>
        <v>21154</v>
      </c>
      <c r="C601" s="34">
        <v>133918588.37849998</v>
      </c>
      <c r="D601" s="34">
        <v>264446934.13150001</v>
      </c>
      <c r="E601" s="34">
        <v>33704005.999999993</v>
      </c>
      <c r="F601" s="34">
        <v>218239.27000000002</v>
      </c>
      <c r="G601" s="34">
        <v>64710644.780000001</v>
      </c>
      <c r="H601" s="34">
        <v>5617346.3900000006</v>
      </c>
      <c r="I601" s="34">
        <v>21986537.580000002</v>
      </c>
      <c r="J601" s="34">
        <v>1354596.14</v>
      </c>
      <c r="K601" s="34">
        <v>24321420.150000006</v>
      </c>
      <c r="L601" s="34">
        <v>1744373.5</v>
      </c>
      <c r="M601" s="34">
        <v>8825703.7799999993</v>
      </c>
      <c r="N601" s="34">
        <v>6496428.6899999995</v>
      </c>
      <c r="O601" s="34">
        <v>23155140.23</v>
      </c>
      <c r="P601" s="34">
        <v>25442.54</v>
      </c>
      <c r="Q601" s="34">
        <v>28084466.09</v>
      </c>
      <c r="R601" s="34">
        <v>6176589.8500000006</v>
      </c>
      <c r="S601" s="34">
        <v>730212261.24000013</v>
      </c>
      <c r="T601" s="34">
        <v>18765691.530000001</v>
      </c>
      <c r="U601" s="34">
        <v>18841</v>
      </c>
      <c r="V601" s="34">
        <v>61681.74</v>
      </c>
      <c r="W601" s="14">
        <v>560</v>
      </c>
      <c r="X601" s="34">
        <v>0</v>
      </c>
      <c r="Y601" s="29">
        <f t="shared" si="9"/>
        <v>1373845493.0100002</v>
      </c>
      <c r="AA601" s="34"/>
      <c r="AC601" s="34"/>
    </row>
    <row r="602" spans="1:29" x14ac:dyDescent="0.3">
      <c r="A602" s="15">
        <v>43101</v>
      </c>
      <c r="B602" s="6">
        <f t="shared" si="10"/>
        <v>21185</v>
      </c>
      <c r="C602" s="34">
        <v>64612648.019499995</v>
      </c>
      <c r="D602" s="34">
        <v>114944816.3105</v>
      </c>
      <c r="E602" s="34">
        <v>36454514.860000007</v>
      </c>
      <c r="F602" s="34">
        <v>401300.76</v>
      </c>
      <c r="G602" s="34">
        <v>66436585.039999999</v>
      </c>
      <c r="H602" s="34">
        <v>5644176.1300000008</v>
      </c>
      <c r="I602" s="34">
        <v>19450996.59</v>
      </c>
      <c r="J602" s="34">
        <v>1225081.55</v>
      </c>
      <c r="K602" s="34">
        <v>22558580.650000002</v>
      </c>
      <c r="L602" s="34">
        <v>1658622.42</v>
      </c>
      <c r="M602" s="34">
        <v>10258188.550000001</v>
      </c>
      <c r="N602" s="34">
        <v>7844428.9400000004</v>
      </c>
      <c r="O602" s="34">
        <v>30110271.319999985</v>
      </c>
      <c r="P602" s="34">
        <v>431123.67000000004</v>
      </c>
      <c r="Q602" s="34">
        <v>28084466.09</v>
      </c>
      <c r="R602" s="34">
        <v>7140686.3000000007</v>
      </c>
      <c r="S602" s="34">
        <v>913864998.95000005</v>
      </c>
      <c r="T602" s="34">
        <v>18522203.75</v>
      </c>
      <c r="U602" s="34">
        <v>25955</v>
      </c>
      <c r="V602" s="34">
        <v>45018.28</v>
      </c>
      <c r="W602" s="14">
        <v>3060</v>
      </c>
      <c r="X602" s="34">
        <v>58</v>
      </c>
      <c r="Y602" s="29">
        <f t="shared" si="9"/>
        <v>1349717781.1800001</v>
      </c>
      <c r="AA602" s="34"/>
      <c r="AC602" s="34"/>
    </row>
    <row r="603" spans="1:29" x14ac:dyDescent="0.3">
      <c r="A603" s="15">
        <v>43132</v>
      </c>
      <c r="B603" s="6">
        <f t="shared" si="10"/>
        <v>21216</v>
      </c>
      <c r="C603" s="34">
        <v>10152766.659999996</v>
      </c>
      <c r="D603" s="34">
        <v>23655274.090000004</v>
      </c>
      <c r="E603" s="34">
        <v>3621549.77</v>
      </c>
      <c r="F603" s="34">
        <v>-230120.36000000004</v>
      </c>
      <c r="G603" s="34">
        <v>58036064.189999998</v>
      </c>
      <c r="H603" s="34">
        <v>5063288.88</v>
      </c>
      <c r="I603" s="34">
        <v>18479850.739999998</v>
      </c>
      <c r="J603" s="34">
        <v>1327568.2</v>
      </c>
      <c r="K603" s="34">
        <v>27497049.619999997</v>
      </c>
      <c r="L603" s="34">
        <v>2188518.5</v>
      </c>
      <c r="M603" s="34">
        <v>7989104.7999999998</v>
      </c>
      <c r="N603" s="34">
        <v>6616336.3899999997</v>
      </c>
      <c r="O603" s="34">
        <v>22212315.849999998</v>
      </c>
      <c r="P603" s="34">
        <v>1036581.2</v>
      </c>
      <c r="Q603" s="34">
        <v>28084466.09</v>
      </c>
      <c r="R603" s="34">
        <v>4578297</v>
      </c>
      <c r="S603" s="34">
        <v>648160781.42999995</v>
      </c>
      <c r="T603" s="34">
        <v>16385061.860000001</v>
      </c>
      <c r="U603" s="34">
        <v>14516</v>
      </c>
      <c r="V603" s="34">
        <v>43914.66</v>
      </c>
      <c r="W603" s="14">
        <v>760</v>
      </c>
      <c r="X603" s="34">
        <v>0</v>
      </c>
      <c r="Y603" s="29">
        <f t="shared" si="9"/>
        <v>884913945.56999993</v>
      </c>
      <c r="AA603" s="34"/>
      <c r="AC603" s="34"/>
    </row>
    <row r="604" spans="1:29" x14ac:dyDescent="0.3">
      <c r="A604" s="15">
        <v>43160</v>
      </c>
      <c r="B604" s="6">
        <f t="shared" si="10"/>
        <v>21244</v>
      </c>
      <c r="C604" s="34">
        <v>81062624.307000011</v>
      </c>
      <c r="D604" s="34">
        <v>114826590.993</v>
      </c>
      <c r="E604" s="34">
        <v>9958747.2599999998</v>
      </c>
      <c r="F604" s="34">
        <v>157384.71999999997</v>
      </c>
      <c r="G604" s="34">
        <v>56335694.379999995</v>
      </c>
      <c r="H604" s="34">
        <v>4900544.92</v>
      </c>
      <c r="I604" s="34">
        <v>19103547.23</v>
      </c>
      <c r="J604" s="34">
        <v>1289771.8799999999</v>
      </c>
      <c r="K604" s="34">
        <v>34820823.969999999</v>
      </c>
      <c r="L604" s="34">
        <v>2683799</v>
      </c>
      <c r="M604" s="34">
        <v>8984222.2300000004</v>
      </c>
      <c r="N604" s="34">
        <v>12696684.76</v>
      </c>
      <c r="O604" s="34">
        <v>23371943.129999995</v>
      </c>
      <c r="P604" s="34">
        <v>-1914610.65</v>
      </c>
      <c r="Q604" s="34">
        <v>28084466.09</v>
      </c>
      <c r="R604" s="34">
        <v>4885717.4899999984</v>
      </c>
      <c r="S604" s="34">
        <v>659455832.93000007</v>
      </c>
      <c r="T604" s="34">
        <v>16944681.649999999</v>
      </c>
      <c r="U604" s="34">
        <v>32677.15</v>
      </c>
      <c r="V604" s="34">
        <v>54934.99</v>
      </c>
      <c r="W604" s="14">
        <v>2910</v>
      </c>
      <c r="X604" s="34">
        <v>0</v>
      </c>
      <c r="Y604" s="29">
        <f t="shared" si="9"/>
        <v>1077738988.4300003</v>
      </c>
      <c r="AA604" s="34"/>
      <c r="AC604" s="34"/>
    </row>
    <row r="605" spans="1:29" x14ac:dyDescent="0.3">
      <c r="A605" s="15">
        <v>43191</v>
      </c>
      <c r="B605" s="6">
        <f t="shared" si="10"/>
        <v>21275</v>
      </c>
      <c r="C605" s="34">
        <v>241491383.83749998</v>
      </c>
      <c r="D605" s="34">
        <v>444875363.55250001</v>
      </c>
      <c r="E605" s="34">
        <v>138045168.75</v>
      </c>
      <c r="F605" s="34">
        <v>-228309.05</v>
      </c>
      <c r="G605" s="34">
        <v>67752928.790000007</v>
      </c>
      <c r="H605" s="34">
        <v>5813298.3700000001</v>
      </c>
      <c r="I605" s="34">
        <v>19147672.710000001</v>
      </c>
      <c r="J605" s="34">
        <v>1317622.8699999999</v>
      </c>
      <c r="K605" s="34">
        <v>37594568.749999993</v>
      </c>
      <c r="L605" s="34">
        <v>2803272.5</v>
      </c>
      <c r="M605" s="34">
        <v>11264283.26</v>
      </c>
      <c r="N605" s="34">
        <v>86465340.269999996</v>
      </c>
      <c r="O605" s="34">
        <v>37911629.729999997</v>
      </c>
      <c r="P605" s="34">
        <v>88057.94</v>
      </c>
      <c r="Q605" s="34">
        <v>28084466.09</v>
      </c>
      <c r="R605" s="34">
        <v>5613095.96</v>
      </c>
      <c r="S605" s="34">
        <v>789954375.91000009</v>
      </c>
      <c r="T605" s="34">
        <v>20347877.609999999</v>
      </c>
      <c r="U605" s="34">
        <v>17744</v>
      </c>
      <c r="V605" s="34">
        <v>45294.43</v>
      </c>
      <c r="W605" s="14">
        <v>24256</v>
      </c>
      <c r="X605" s="34">
        <v>16</v>
      </c>
      <c r="Y605" s="29">
        <f t="shared" si="9"/>
        <v>1938429408.28</v>
      </c>
      <c r="AA605" s="34"/>
      <c r="AC605" s="34"/>
    </row>
    <row r="606" spans="1:29" x14ac:dyDescent="0.3">
      <c r="A606" s="15">
        <v>43221</v>
      </c>
      <c r="B606" s="6">
        <f t="shared" si="10"/>
        <v>21305</v>
      </c>
      <c r="C606" s="34">
        <v>23095247.4965</v>
      </c>
      <c r="D606" s="34">
        <v>35740749.743499994</v>
      </c>
      <c r="E606" s="34">
        <v>17637791.280000001</v>
      </c>
      <c r="F606" s="34">
        <v>77679.569999999992</v>
      </c>
      <c r="G606" s="34">
        <v>68893890.310000002</v>
      </c>
      <c r="H606" s="34">
        <v>5852654.71</v>
      </c>
      <c r="I606" s="34">
        <v>20843086.450000003</v>
      </c>
      <c r="J606" s="34">
        <v>1633180.0499999998</v>
      </c>
      <c r="K606" s="34">
        <v>30795633.91</v>
      </c>
      <c r="L606" s="34">
        <v>2014228.5</v>
      </c>
      <c r="M606" s="34">
        <v>10768783.83</v>
      </c>
      <c r="N606" s="34">
        <v>28504658.840000004</v>
      </c>
      <c r="O606" s="34">
        <v>78550386.88000001</v>
      </c>
      <c r="P606" s="34">
        <v>263117.13</v>
      </c>
      <c r="Q606" s="34">
        <v>28084466.09</v>
      </c>
      <c r="R606" s="34">
        <v>5844763.1100000003</v>
      </c>
      <c r="S606" s="34">
        <v>733066536.46999991</v>
      </c>
      <c r="T606" s="34">
        <v>16730649.339999998</v>
      </c>
      <c r="U606" s="34">
        <v>9765</v>
      </c>
      <c r="V606" s="34">
        <v>37852.949999999997</v>
      </c>
      <c r="W606" s="14">
        <v>14370</v>
      </c>
      <c r="X606" s="34">
        <v>0</v>
      </c>
      <c r="Y606" s="29">
        <f t="shared" ref="Y606:Y619" si="11">SUM(C606:X606)</f>
        <v>1108459491.6599998</v>
      </c>
      <c r="AA606" s="34"/>
      <c r="AC606" s="34"/>
    </row>
    <row r="607" spans="1:29" x14ac:dyDescent="0.3">
      <c r="A607" s="15">
        <v>43252</v>
      </c>
      <c r="B607" s="6">
        <f t="shared" si="10"/>
        <v>21336</v>
      </c>
      <c r="C607" s="34">
        <v>147098412.16999999</v>
      </c>
      <c r="D607" s="34">
        <v>270539448.94</v>
      </c>
      <c r="E607" s="34">
        <v>1735443.4300000002</v>
      </c>
      <c r="F607" s="34">
        <v>133780.45000000001</v>
      </c>
      <c r="G607" s="34">
        <v>72327614.409999996</v>
      </c>
      <c r="H607" s="34">
        <v>6221289.0199999996</v>
      </c>
      <c r="I607" s="34">
        <v>22359197.489999998</v>
      </c>
      <c r="J607" s="34">
        <v>1650919.2399999998</v>
      </c>
      <c r="K607" s="34">
        <v>23605563.059999999</v>
      </c>
      <c r="L607" s="34">
        <v>2275954.1800000002</v>
      </c>
      <c r="M607" s="34">
        <v>11033136.949999999</v>
      </c>
      <c r="N607" s="34">
        <v>9643522.8599999994</v>
      </c>
      <c r="O607" s="34">
        <v>54396373.179999977</v>
      </c>
      <c r="P607" s="34">
        <v>43856.95</v>
      </c>
      <c r="Q607" s="34">
        <v>28084466.09</v>
      </c>
      <c r="R607" s="34">
        <v>6729365.9700000007</v>
      </c>
      <c r="S607" s="34">
        <v>770577992.17999983</v>
      </c>
      <c r="T607" s="34">
        <v>20649124.739999998</v>
      </c>
      <c r="U607" s="34">
        <v>22045.1</v>
      </c>
      <c r="V607" s="34">
        <v>134622.39000000001</v>
      </c>
      <c r="W607" s="14">
        <v>110040</v>
      </c>
      <c r="X607" s="34">
        <v>0</v>
      </c>
      <c r="Y607" s="29">
        <f t="shared" si="11"/>
        <v>1449372168.7999997</v>
      </c>
      <c r="AA607" s="34"/>
      <c r="AC607" s="34"/>
    </row>
    <row r="608" spans="1:29" x14ac:dyDescent="0.3">
      <c r="A608" s="15">
        <v>43282</v>
      </c>
      <c r="B608" s="6">
        <f t="shared" si="10"/>
        <v>21366</v>
      </c>
      <c r="C608" s="34">
        <v>14477226.453999996</v>
      </c>
      <c r="D608" s="34">
        <v>50233789.326000005</v>
      </c>
      <c r="E608" s="34">
        <v>994623.83</v>
      </c>
      <c r="F608" s="34">
        <v>115793.31</v>
      </c>
      <c r="G608" s="34">
        <v>68388901.13000001</v>
      </c>
      <c r="H608" s="34">
        <v>5844094.6100000003</v>
      </c>
      <c r="I608" s="34">
        <v>22157343.630000003</v>
      </c>
      <c r="J608" s="34">
        <v>1619999.69</v>
      </c>
      <c r="K608" s="34">
        <v>27932204.309999995</v>
      </c>
      <c r="L608" s="34">
        <v>2098031.7999999998</v>
      </c>
      <c r="M608" s="34">
        <v>11079432.43</v>
      </c>
      <c r="N608" s="34">
        <v>10467853.690000001</v>
      </c>
      <c r="O608" s="34">
        <v>36242765.700000018</v>
      </c>
      <c r="P608" s="34">
        <v>14538554.09</v>
      </c>
      <c r="Q608" s="34">
        <v>28084466.09</v>
      </c>
      <c r="R608" s="34">
        <v>6178981.0300000003</v>
      </c>
      <c r="S608" s="34">
        <v>800544079.48999989</v>
      </c>
      <c r="T608" s="34">
        <v>21808108.16</v>
      </c>
      <c r="U608" s="34">
        <v>9298</v>
      </c>
      <c r="V608" s="34">
        <v>70041.89</v>
      </c>
      <c r="W608" s="14">
        <v>114826.01999999999</v>
      </c>
      <c r="X608" s="34">
        <v>0</v>
      </c>
      <c r="Y608" s="29">
        <f t="shared" si="11"/>
        <v>1123000414.6800001</v>
      </c>
      <c r="AA608" s="34"/>
      <c r="AC608" s="34"/>
    </row>
    <row r="609" spans="1:29" x14ac:dyDescent="0.3">
      <c r="A609" s="15">
        <v>43313</v>
      </c>
      <c r="B609" s="6">
        <f t="shared" si="10"/>
        <v>21397</v>
      </c>
      <c r="C609" s="34">
        <v>17619348.956500001</v>
      </c>
      <c r="D609" s="34">
        <v>15334425.773499995</v>
      </c>
      <c r="E609" s="34">
        <v>919905.36999999976</v>
      </c>
      <c r="F609" s="34">
        <v>-6387.109999999986</v>
      </c>
      <c r="G609" s="34">
        <v>76277832.720000014</v>
      </c>
      <c r="H609" s="34">
        <v>6147714.1899999995</v>
      </c>
      <c r="I609" s="34">
        <v>20883192.549999997</v>
      </c>
      <c r="J609" s="34">
        <v>1691907.2</v>
      </c>
      <c r="K609" s="34">
        <v>36405011.969999999</v>
      </c>
      <c r="L609" s="34">
        <v>2014145.75</v>
      </c>
      <c r="M609" s="34">
        <v>10363236.74</v>
      </c>
      <c r="N609" s="34">
        <v>9819862.7347927447</v>
      </c>
      <c r="O609" s="34">
        <v>29206436.510000005</v>
      </c>
      <c r="P609" s="34">
        <v>10851320.5</v>
      </c>
      <c r="Q609" s="34">
        <v>28084466.09</v>
      </c>
      <c r="R609" s="34">
        <v>5092668.9100000011</v>
      </c>
      <c r="S609" s="34">
        <v>762388257.23999989</v>
      </c>
      <c r="T609" s="34">
        <v>19010290.389999997</v>
      </c>
      <c r="U609" s="34">
        <v>20981.81</v>
      </c>
      <c r="V609" s="34">
        <v>92465.08</v>
      </c>
      <c r="W609" s="14">
        <v>16840</v>
      </c>
      <c r="X609" s="34">
        <v>114.6</v>
      </c>
      <c r="Y609" s="29">
        <f t="shared" si="11"/>
        <v>1052234037.9747926</v>
      </c>
      <c r="AA609" s="34"/>
      <c r="AC609" s="34"/>
    </row>
    <row r="610" spans="1:29" x14ac:dyDescent="0.3">
      <c r="A610" s="15">
        <v>43344</v>
      </c>
      <c r="B610" s="6">
        <f t="shared" si="10"/>
        <v>21428</v>
      </c>
      <c r="C610" s="34">
        <v>154372170.09</v>
      </c>
      <c r="D610" s="34">
        <v>246297396.19</v>
      </c>
      <c r="E610" s="34">
        <v>-590657.14999999921</v>
      </c>
      <c r="F610" s="34">
        <v>5310.59</v>
      </c>
      <c r="G610" s="34">
        <v>74599592.620000005</v>
      </c>
      <c r="H610" s="34">
        <v>6151298.5899999999</v>
      </c>
      <c r="I610" s="34">
        <v>20955796.68</v>
      </c>
      <c r="J610" s="34">
        <v>1699657.39</v>
      </c>
      <c r="K610" s="34">
        <v>25931590.440000001</v>
      </c>
      <c r="L610" s="34">
        <v>2227322.75</v>
      </c>
      <c r="M610" s="34">
        <v>10953919.74</v>
      </c>
      <c r="N610" s="34">
        <v>6663299.7899999991</v>
      </c>
      <c r="O610" s="34">
        <v>31360708.659999996</v>
      </c>
      <c r="P610" s="34">
        <v>1481859.45</v>
      </c>
      <c r="Q610" s="34">
        <v>35057359.990000002</v>
      </c>
      <c r="R610" s="34">
        <v>6044816.4600000009</v>
      </c>
      <c r="S610" s="34">
        <v>777609770.22000003</v>
      </c>
      <c r="T610" s="34">
        <v>22845407.029999997</v>
      </c>
      <c r="U610" s="34">
        <v>17675.810000000001</v>
      </c>
      <c r="V610" s="34">
        <v>61599.74</v>
      </c>
      <c r="W610" s="14">
        <v>8290</v>
      </c>
      <c r="X610" s="34">
        <v>0</v>
      </c>
      <c r="Y610" s="29">
        <f t="shared" si="11"/>
        <v>1423754185.0799999</v>
      </c>
      <c r="AA610" s="34"/>
      <c r="AC610" s="34"/>
    </row>
    <row r="611" spans="1:29" x14ac:dyDescent="0.3">
      <c r="A611" s="15">
        <v>43374</v>
      </c>
      <c r="B611" s="6">
        <f t="shared" si="10"/>
        <v>21458</v>
      </c>
      <c r="C611" s="34">
        <v>52146138.931500018</v>
      </c>
      <c r="D611" s="34">
        <v>7304079.9384999871</v>
      </c>
      <c r="E611" s="34">
        <v>229905.76999999699</v>
      </c>
      <c r="F611" s="34">
        <v>27267.699999999997</v>
      </c>
      <c r="G611" s="34">
        <v>69846757.439999998</v>
      </c>
      <c r="H611" s="34">
        <v>5731224.9300000006</v>
      </c>
      <c r="I611" s="34">
        <v>18549920</v>
      </c>
      <c r="J611" s="34">
        <v>1396090.0300000003</v>
      </c>
      <c r="K611" s="34">
        <v>22518261.359999999</v>
      </c>
      <c r="L611" s="34">
        <v>1864004.47</v>
      </c>
      <c r="M611" s="34">
        <v>11316145.83</v>
      </c>
      <c r="N611" s="34">
        <v>6072168.0999999996</v>
      </c>
      <c r="O611" s="34">
        <v>28309943.27</v>
      </c>
      <c r="P611" s="34">
        <v>-206705.39</v>
      </c>
      <c r="Q611" s="34">
        <v>29716051.079999998</v>
      </c>
      <c r="R611" s="34">
        <v>4954558.7299999995</v>
      </c>
      <c r="S611" s="34">
        <v>760551816.18000007</v>
      </c>
      <c r="T611" s="34">
        <v>23545399.640000001</v>
      </c>
      <c r="U611" s="34">
        <v>9280</v>
      </c>
      <c r="V611" s="34">
        <v>41303.42</v>
      </c>
      <c r="W611" s="14">
        <v>10283.959999999999</v>
      </c>
      <c r="X611" s="34">
        <v>459.2</v>
      </c>
      <c r="Y611" s="29">
        <f t="shared" si="11"/>
        <v>1043934354.5900002</v>
      </c>
      <c r="AA611" s="34"/>
      <c r="AC611" s="34"/>
    </row>
    <row r="612" spans="1:29" x14ac:dyDescent="0.3">
      <c r="A612" s="15">
        <v>43405</v>
      </c>
      <c r="B612" s="6">
        <f t="shared" si="10"/>
        <v>21489</v>
      </c>
      <c r="C612" s="34">
        <v>32329385.130999997</v>
      </c>
      <c r="D612" s="34">
        <v>-1988607.5510000139</v>
      </c>
      <c r="E612" s="34">
        <v>3257194.6999999997</v>
      </c>
      <c r="F612" s="34">
        <v>128692.89</v>
      </c>
      <c r="G612" s="34">
        <v>71938084.230000004</v>
      </c>
      <c r="H612" s="34">
        <v>6034084.5499999998</v>
      </c>
      <c r="I612" s="34">
        <v>20931568.109999999</v>
      </c>
      <c r="J612" s="34">
        <v>1550264.7499999998</v>
      </c>
      <c r="K612" s="34">
        <v>25483160.199999996</v>
      </c>
      <c r="L612" s="34">
        <v>1983985.43</v>
      </c>
      <c r="M612" s="34">
        <v>11357596.140000001</v>
      </c>
      <c r="N612" s="34">
        <v>4213646.41</v>
      </c>
      <c r="O612" s="34">
        <v>28483799.100000005</v>
      </c>
      <c r="P612" s="34">
        <v>34991.29</v>
      </c>
      <c r="Q612" s="34">
        <v>29716051.079999998</v>
      </c>
      <c r="R612" s="34">
        <v>6463533.96</v>
      </c>
      <c r="S612" s="34">
        <v>781295244.25999987</v>
      </c>
      <c r="T612" s="34">
        <v>19926989.649999999</v>
      </c>
      <c r="U612" s="34">
        <v>16810</v>
      </c>
      <c r="V612" s="34">
        <v>69538.41</v>
      </c>
      <c r="W612" s="14">
        <v>2120</v>
      </c>
      <c r="X612" s="34">
        <v>0</v>
      </c>
      <c r="Y612" s="29">
        <f t="shared" si="11"/>
        <v>1043228132.7399998</v>
      </c>
      <c r="AA612" s="34"/>
      <c r="AC612" s="34"/>
    </row>
    <row r="613" spans="1:29" x14ac:dyDescent="0.3">
      <c r="A613" s="15">
        <v>43435</v>
      </c>
      <c r="B613" s="6">
        <f t="shared" si="10"/>
        <v>21519</v>
      </c>
      <c r="C613" s="34">
        <v>114606950.537</v>
      </c>
      <c r="D613" s="34">
        <v>219703158.87300003</v>
      </c>
      <c r="E613" s="34">
        <v>2643640.34</v>
      </c>
      <c r="F613" s="34">
        <v>7268.05</v>
      </c>
      <c r="G613" s="34">
        <v>68819355.719999999</v>
      </c>
      <c r="H613" s="34">
        <v>5729111.1600000001</v>
      </c>
      <c r="I613" s="34">
        <v>19885857.619999997</v>
      </c>
      <c r="J613" s="34">
        <v>1373047.3299999998</v>
      </c>
      <c r="K613" s="34">
        <v>24505511.470000003</v>
      </c>
      <c r="L613" s="34">
        <v>1702163.39</v>
      </c>
      <c r="M613" s="34">
        <v>10158006.390000001</v>
      </c>
      <c r="N613" s="34">
        <v>7465181.8500000006</v>
      </c>
      <c r="O613" s="34">
        <v>29366496.990000002</v>
      </c>
      <c r="P613" s="34">
        <v>120843.63</v>
      </c>
      <c r="Q613" s="34">
        <v>29716051.079999998</v>
      </c>
      <c r="R613" s="34">
        <v>6396857.3000000007</v>
      </c>
      <c r="S613" s="34">
        <v>769194491.66000021</v>
      </c>
      <c r="T613" s="34">
        <v>21174219.09</v>
      </c>
      <c r="U613" s="34">
        <v>0</v>
      </c>
      <c r="V613" s="34">
        <v>19607.59</v>
      </c>
      <c r="W613" s="14">
        <v>2340</v>
      </c>
      <c r="X613" s="34">
        <v>0</v>
      </c>
      <c r="Y613" s="29">
        <f t="shared" si="11"/>
        <v>1332590160.0700002</v>
      </c>
      <c r="AA613" s="34"/>
      <c r="AC613" s="34"/>
    </row>
    <row r="614" spans="1:29" x14ac:dyDescent="0.3">
      <c r="A614" s="15">
        <v>43466</v>
      </c>
      <c r="B614" s="6">
        <f t="shared" si="10"/>
        <v>21550</v>
      </c>
      <c r="C614" s="34">
        <v>68304426.412</v>
      </c>
      <c r="D614" s="34">
        <v>132076433.06799999</v>
      </c>
      <c r="E614" s="34">
        <v>1147574.99</v>
      </c>
      <c r="F614" s="34">
        <v>109530.41</v>
      </c>
      <c r="G614" s="34">
        <v>71692842.440000013</v>
      </c>
      <c r="H614" s="34">
        <v>5868860.5300000003</v>
      </c>
      <c r="I614" s="34">
        <v>17403341.170000002</v>
      </c>
      <c r="J614" s="34">
        <v>1331452.3699999999</v>
      </c>
      <c r="K614" s="34">
        <v>23108286.230000004</v>
      </c>
      <c r="L614" s="34">
        <v>1978699.1</v>
      </c>
      <c r="M614" s="34">
        <v>11547420.539999999</v>
      </c>
      <c r="N614" s="34">
        <v>10061259.050000001</v>
      </c>
      <c r="O614" s="34">
        <v>29902112.820000008</v>
      </c>
      <c r="P614" s="34">
        <v>107640.77</v>
      </c>
      <c r="Q614" s="34">
        <v>29716051.079999998</v>
      </c>
      <c r="R614" s="34">
        <v>7519542.9800000004</v>
      </c>
      <c r="S614" s="34">
        <v>952629793.13999987</v>
      </c>
      <c r="T614" s="34">
        <v>23004396.199999999</v>
      </c>
      <c r="U614" s="34">
        <v>29087</v>
      </c>
      <c r="V614" s="34">
        <v>56493.760000000002</v>
      </c>
      <c r="W614" s="14">
        <v>1070</v>
      </c>
      <c r="X614" s="34">
        <v>0</v>
      </c>
      <c r="Y614" s="29">
        <f t="shared" si="11"/>
        <v>1387596314.0599999</v>
      </c>
      <c r="AA614" s="34"/>
      <c r="AC614" s="34"/>
    </row>
    <row r="615" spans="1:29" x14ac:dyDescent="0.3">
      <c r="A615" s="15">
        <v>43497</v>
      </c>
      <c r="B615" s="6">
        <f t="shared" si="10"/>
        <v>21581</v>
      </c>
      <c r="C615" s="34">
        <v>16514906.259000003</v>
      </c>
      <c r="D615" s="34">
        <v>34648751.941</v>
      </c>
      <c r="E615" s="34">
        <v>2259948.8200000003</v>
      </c>
      <c r="F615" s="34">
        <v>1772810.47</v>
      </c>
      <c r="G615" s="34">
        <v>64241703.010000005</v>
      </c>
      <c r="H615" s="34">
        <v>5463375.79</v>
      </c>
      <c r="I615" s="34">
        <v>18704999.360000003</v>
      </c>
      <c r="J615" s="34">
        <v>1310429.9000000001</v>
      </c>
      <c r="K615" s="34">
        <v>29556206.169999998</v>
      </c>
      <c r="L615" s="34">
        <v>1887211.87</v>
      </c>
      <c r="M615" s="34">
        <v>9306641.75</v>
      </c>
      <c r="N615" s="34">
        <v>7850701.2000000011</v>
      </c>
      <c r="O615" s="34">
        <v>23709755.430000003</v>
      </c>
      <c r="P615" s="34">
        <v>234963.74</v>
      </c>
      <c r="Q615" s="34">
        <v>29716051.079999998</v>
      </c>
      <c r="R615" s="34">
        <v>5091646.6000000006</v>
      </c>
      <c r="S615" s="34">
        <v>682342646.32999992</v>
      </c>
      <c r="T615" s="34">
        <v>19132598.939999998</v>
      </c>
      <c r="U615" s="34">
        <v>24152</v>
      </c>
      <c r="V615" s="34">
        <v>30495.22</v>
      </c>
      <c r="W615" s="14">
        <v>4580</v>
      </c>
      <c r="X615" s="34">
        <v>0</v>
      </c>
      <c r="Y615" s="29">
        <f t="shared" si="11"/>
        <v>953804575.87999988</v>
      </c>
      <c r="AA615" s="34"/>
      <c r="AC615" s="34"/>
    </row>
    <row r="616" spans="1:29" x14ac:dyDescent="0.3">
      <c r="A616" s="15">
        <v>43525</v>
      </c>
      <c r="B616" s="6">
        <f t="shared" si="10"/>
        <v>21609</v>
      </c>
      <c r="C616" s="34">
        <v>77879700.164499998</v>
      </c>
      <c r="D616" s="34">
        <v>130574983.3055</v>
      </c>
      <c r="E616" s="34">
        <v>11437994.690000001</v>
      </c>
      <c r="F616" s="34">
        <v>29947.9</v>
      </c>
      <c r="G616" s="34">
        <v>55109865.079999998</v>
      </c>
      <c r="H616" s="34">
        <v>4721254.03</v>
      </c>
      <c r="I616" s="34">
        <v>21319674.609999999</v>
      </c>
      <c r="J616" s="34">
        <v>1192363.1600000001</v>
      </c>
      <c r="K616" s="34">
        <v>31117332.639999993</v>
      </c>
      <c r="L616" s="34">
        <v>1701716.93</v>
      </c>
      <c r="M616" s="34">
        <v>10192233.689999999</v>
      </c>
      <c r="N616" s="34">
        <v>14386517.6</v>
      </c>
      <c r="O616" s="34">
        <v>20287591.959999993</v>
      </c>
      <c r="P616" s="34">
        <v>6352.3799999999992</v>
      </c>
      <c r="Q616" s="34">
        <v>29716051.079999998</v>
      </c>
      <c r="R616" s="34">
        <v>5147861.2600000007</v>
      </c>
      <c r="S616" s="34">
        <v>696928688.33000004</v>
      </c>
      <c r="T616" s="34">
        <v>18750277.760000002</v>
      </c>
      <c r="U616" s="34">
        <v>22885.19</v>
      </c>
      <c r="V616" s="34">
        <v>52609.15</v>
      </c>
      <c r="W616" s="14">
        <v>4710</v>
      </c>
      <c r="X616" s="34">
        <v>0</v>
      </c>
      <c r="Y616" s="29">
        <f t="shared" si="11"/>
        <v>1130580610.9100001</v>
      </c>
      <c r="AA616" s="34"/>
      <c r="AC616" s="34"/>
    </row>
    <row r="617" spans="1:29" x14ac:dyDescent="0.3">
      <c r="A617" s="15">
        <v>43556</v>
      </c>
      <c r="B617" s="6">
        <f t="shared" si="10"/>
        <v>21640</v>
      </c>
      <c r="C617" s="34">
        <v>291082386.12799996</v>
      </c>
      <c r="D617" s="34">
        <v>526228731.56199998</v>
      </c>
      <c r="E617" s="34">
        <v>176430261.79999998</v>
      </c>
      <c r="F617" s="34">
        <v>41399.660000000003</v>
      </c>
      <c r="G617" s="34">
        <v>74347702.790000007</v>
      </c>
      <c r="H617" s="34">
        <v>6079400.7699999996</v>
      </c>
      <c r="I617" s="34">
        <v>18899536.300000001</v>
      </c>
      <c r="J617" s="34">
        <v>1339993.9000000001</v>
      </c>
      <c r="K617" s="34">
        <v>35411664.260000005</v>
      </c>
      <c r="L617" s="34">
        <v>2117381</v>
      </c>
      <c r="M617" s="34">
        <v>12900386.220000001</v>
      </c>
      <c r="N617" s="34">
        <v>89387316.140000015</v>
      </c>
      <c r="O617" s="34">
        <v>41054626.820000008</v>
      </c>
      <c r="P617" s="34">
        <v>284035.75</v>
      </c>
      <c r="Q617" s="34">
        <v>29716051.079999998</v>
      </c>
      <c r="R617" s="34">
        <v>5812220.0300000003</v>
      </c>
      <c r="S617" s="34">
        <v>814705245.20999992</v>
      </c>
      <c r="T617" s="34">
        <v>24102453.850000001</v>
      </c>
      <c r="U617" s="34">
        <v>18624.23</v>
      </c>
      <c r="V617" s="34">
        <v>162819.5</v>
      </c>
      <c r="W617" s="14">
        <v>3419.76</v>
      </c>
      <c r="X617" s="34">
        <v>0</v>
      </c>
      <c r="Y617" s="29">
        <f t="shared" si="11"/>
        <v>2150125656.7599998</v>
      </c>
      <c r="AA617" s="34"/>
      <c r="AC617" s="34"/>
    </row>
    <row r="618" spans="1:29" x14ac:dyDescent="0.3">
      <c r="A618" s="15">
        <v>43586</v>
      </c>
      <c r="B618" s="6">
        <f t="shared" si="10"/>
        <v>21670</v>
      </c>
      <c r="C618" s="34">
        <v>28734908.270500001</v>
      </c>
      <c r="D618" s="34">
        <v>38887097.789500006</v>
      </c>
      <c r="E618" s="34">
        <v>2047132.6000000003</v>
      </c>
      <c r="F618" s="34">
        <v>4570.01</v>
      </c>
      <c r="G618" s="34">
        <v>72499530.320000008</v>
      </c>
      <c r="H618" s="34">
        <v>5878622.5700000003</v>
      </c>
      <c r="I618" s="34">
        <v>22312628.600000001</v>
      </c>
      <c r="J618" s="34">
        <v>1707811.78</v>
      </c>
      <c r="K618" s="34">
        <v>29008193.869999994</v>
      </c>
      <c r="L618" s="34">
        <v>2147154.0499999998</v>
      </c>
      <c r="M618" s="34">
        <v>12045707.609999999</v>
      </c>
      <c r="N618" s="34">
        <v>33035655.330000002</v>
      </c>
      <c r="O618" s="34">
        <v>69770502.859999985</v>
      </c>
      <c r="P618" s="34">
        <v>77937.570000000007</v>
      </c>
      <c r="Q618" s="34">
        <v>29716051.079999998</v>
      </c>
      <c r="R618" s="34">
        <v>6494559.4400000004</v>
      </c>
      <c r="S618" s="34">
        <v>793061084.24000001</v>
      </c>
      <c r="T618" s="34">
        <v>19106454.579999998</v>
      </c>
      <c r="U618" s="34">
        <v>17351</v>
      </c>
      <c r="V618" s="34">
        <v>65797.56</v>
      </c>
      <c r="W618" s="14">
        <v>5330</v>
      </c>
      <c r="X618" s="34">
        <v>14053.29</v>
      </c>
      <c r="Y618" s="29">
        <f t="shared" si="11"/>
        <v>1166638134.4199998</v>
      </c>
      <c r="AA618" s="34"/>
      <c r="AC618" s="34"/>
    </row>
    <row r="619" spans="1:29" x14ac:dyDescent="0.3">
      <c r="A619" s="15">
        <v>43617</v>
      </c>
      <c r="B619" s="6">
        <f t="shared" si="10"/>
        <v>21701</v>
      </c>
      <c r="C619" s="34">
        <v>162866699.40549999</v>
      </c>
      <c r="D619" s="34">
        <v>298168331.01450002</v>
      </c>
      <c r="E619" s="34">
        <v>1123000.0999999996</v>
      </c>
      <c r="F619" s="34">
        <v>-809.37</v>
      </c>
      <c r="G619" s="34">
        <v>74208979.780000001</v>
      </c>
      <c r="H619" s="34">
        <v>6150299.8300000001</v>
      </c>
      <c r="I619" s="34">
        <v>23919108.519999996</v>
      </c>
      <c r="J619" s="34">
        <v>1607527.0300000003</v>
      </c>
      <c r="K619" s="34">
        <v>30705619.84</v>
      </c>
      <c r="L619" s="34">
        <v>2150954.9500000002</v>
      </c>
      <c r="M619" s="34">
        <v>12890689.99</v>
      </c>
      <c r="N619" s="34">
        <v>5670353.1799999997</v>
      </c>
      <c r="O619" s="34">
        <v>65856840.74000001</v>
      </c>
      <c r="P619" s="34">
        <v>76438.709999999992</v>
      </c>
      <c r="Q619" s="34">
        <v>29716051.079999998</v>
      </c>
      <c r="R619" s="34">
        <v>6663197.5900000008</v>
      </c>
      <c r="S619" s="34">
        <v>819672431.88999999</v>
      </c>
      <c r="T619" s="34">
        <v>22949419.719999999</v>
      </c>
      <c r="U619" s="34">
        <v>41587.300000000003</v>
      </c>
      <c r="V619" s="34">
        <v>73661.990000000005</v>
      </c>
      <c r="W619" s="14">
        <v>156980</v>
      </c>
      <c r="X619" s="34">
        <v>0</v>
      </c>
      <c r="Y619" s="29">
        <f t="shared" si="11"/>
        <v>1564667363.2900002</v>
      </c>
      <c r="AA619" s="34"/>
      <c r="AC619" s="34"/>
    </row>
  </sheetData>
  <phoneticPr fontId="0" type="noConversion"/>
  <pageMargins left="0.75" right="0.75" top="1" bottom="1" header="0.5" footer="0.5"/>
  <pageSetup orientation="portrait" verticalDpi="599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Department of Revenue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dg16005</dc:creator>
  <cp:lastModifiedBy>Kaivanh Inthavong</cp:lastModifiedBy>
  <dcterms:created xsi:type="dcterms:W3CDTF">2003-03-11T14:47:31Z</dcterms:created>
  <dcterms:modified xsi:type="dcterms:W3CDTF">2019-11-15T21:46:36Z</dcterms:modified>
</cp:coreProperties>
</file>