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16_PMCommunity\Applications\2022 Appl Documents\"/>
    </mc:Choice>
  </mc:AlternateContent>
  <xr:revisionPtr revIDLastSave="0" documentId="8_{46D45165-13E1-4DE2-B005-60C4A06CA7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Template" sheetId="11" r:id="rId1"/>
    <sheet name="Grant Budget" sheetId="4" state="hidden" r:id="rId2"/>
    <sheet name="Grant Budget Detail" sheetId="5" r:id="rId3"/>
    <sheet name="Inspection &amp; Design Guideline" sheetId="16" r:id="rId4"/>
    <sheet name="County Tier" sheetId="13" state="hidden" r:id="rId5"/>
    <sheet name="ATP Table (2)" sheetId="15" state="hidden" r:id="rId6"/>
  </sheets>
  <definedNames>
    <definedName name="Anderson">'ATP Table (2)'!$C$2:$C$7</definedName>
    <definedName name="ATPRates2016">'ATP Table (2)'!$A$2:$G$476</definedName>
    <definedName name="Bedford">'ATP Table (2)'!$C$8:$C$12</definedName>
    <definedName name="Benton">'ATP Table (2)'!$C$13:$C$15</definedName>
    <definedName name="Bledsoe">'ATP Table (2)'!$C$16:$C$17</definedName>
    <definedName name="Blount">'ATP Table (2)'!$C$18:$C$24</definedName>
    <definedName name="Bradley">'ATP Table (2)'!$C$25:$C$27</definedName>
    <definedName name="Campbell">'ATP Table (2)'!$C$28:$C$33</definedName>
    <definedName name="Cannon">'ATP Table (2)'!$C$34:$C$36</definedName>
    <definedName name="Carroll">'ATP Table (2)'!$C$37:$C$45</definedName>
    <definedName name="Carter">'ATP Table (2)'!$C$46:$C$49</definedName>
    <definedName name="Cheatham">'ATP Table (2)'!$C$50:$C$54</definedName>
    <definedName name="Chester">'ATP Table (2)'!$C$55:$C$59</definedName>
    <definedName name="Claiborne">'ATP Table (2)'!$C$60:$C$64</definedName>
    <definedName name="Clay">'ATP Table (2)'!$C$65:$C$66</definedName>
    <definedName name="Cocke">'ATP Table (2)'!$C$67:$C$69</definedName>
    <definedName name="Coffee">'ATP Table (2)'!$C$70:$C$72</definedName>
    <definedName name="Counties">'County Tier'!$A$4:$A$98</definedName>
    <definedName name="CountyTier18">'County Tier'!$A$4:$D$98</definedName>
    <definedName name="Crockett">'ATP Table (2)'!$C$73:$C$78</definedName>
    <definedName name="Cumberland">'ATP Table (2)'!$C$79:$C$82</definedName>
    <definedName name="Davidson">'ATP Table (2)'!$C$83:$C$91</definedName>
    <definedName name="Decatur">'ATP Table (2)'!$C$92:$C$95</definedName>
    <definedName name="DeKalb">'ATP Table (2)'!$C$96:$C$100</definedName>
    <definedName name="Dickson">'ATP Table (2)'!$C$101:$C$107</definedName>
    <definedName name="Dyer">'ATP Table (2)'!$C$108:$C$111</definedName>
    <definedName name="Fayette">'ATP Table (2)'!$C$112:$C$123</definedName>
    <definedName name="Fentress">'ATP Table (2)'!$C$124:$C$126</definedName>
    <definedName name="Franklin">'ATP Table (2)'!$C$127:$C$133</definedName>
    <definedName name="Gibson">'ATP Table (2)'!$C$134:$C$144</definedName>
    <definedName name="Giles">'ATP Table (2)'!$C$145:$C$150</definedName>
    <definedName name="Grainger">'ATP Table (2)'!$C$151:$C$154</definedName>
    <definedName name="Greene">'ATP Table (2)'!$C$155:$C$159</definedName>
    <definedName name="Grundy">'ATP Table (2)'!$C$160:$C$167</definedName>
    <definedName name="Hamblen">'ATP Table (2)'!$C$168:$C$169</definedName>
    <definedName name="Hamilton">'ATP Table (2)'!$C$170:$C$180</definedName>
    <definedName name="Hancock">'ATP Table (2)'!$C$181:$C$182</definedName>
    <definedName name="Hardeman">'ATP Table (2)'!$C$183:$C$192</definedName>
    <definedName name="Hardin">'ATP Table (2)'!$C$193:$C$198</definedName>
    <definedName name="Hawkins">'ATP Table (2)'!$C$199:$C$205</definedName>
    <definedName name="Haywood">'ATP Table (2)'!$C$206:$C$208</definedName>
    <definedName name="Henderson">'ATP Table (2)'!$C$209:$C$213</definedName>
    <definedName name="Henry">'ATP Table (2)'!$C$214:$C$219</definedName>
    <definedName name="Hickman">'ATP Table (2)'!$C$220:$C$221</definedName>
    <definedName name="Houston">'ATP Table (2)'!$C$222:$C$224</definedName>
    <definedName name="Humphreys">'ATP Table (2)'!$C$225:$C$228</definedName>
    <definedName name="Jackson">'ATP Table (2)'!$C$229:$C$230</definedName>
    <definedName name="Jefferson">'ATP Table (2)'!$C$231:$C$236</definedName>
    <definedName name="Johnson">'ATP Table (2)'!$C$237:$C$238</definedName>
    <definedName name="Knox">'ATP Table (2)'!$C$239:$C$241</definedName>
    <definedName name="Lake">'ATP Table (2)'!$C$242:$C$244</definedName>
    <definedName name="Lauderdale">'ATP Table (2)'!$C$245:$C$249</definedName>
    <definedName name="Lawrence">'ATP Table (2)'!$C$250:$C$255</definedName>
    <definedName name="Lewis">'ATP Table (2)'!$C$256:$C$257</definedName>
    <definedName name="Lincoln">'ATP Table (2)'!$C$258:$C$260</definedName>
    <definedName name="Loudon">'ATP Table (2)'!$C$261:$C$266</definedName>
    <definedName name="Macon">'ATP Table (2)'!$C$267:$C$269</definedName>
    <definedName name="Madison">'ATP Table (2)'!$C$270:$C$273</definedName>
    <definedName name="Marion">'ATP Table (2)'!$C$274:$C$282</definedName>
    <definedName name="Marshall">'ATP Table (2)'!$C$283:$C$287</definedName>
    <definedName name="Maury">'ATP Table (2)'!$C$288:$C$291</definedName>
    <definedName name="McMinn">'ATP Table (2)'!$C$292:$C$297</definedName>
    <definedName name="McNairy">'ATP Table (2)'!$C$298:$C$309</definedName>
    <definedName name="Meigs">'ATP Table (2)'!$C$310:$C$311</definedName>
    <definedName name="Monroe">'ATP Table (2)'!$C$312:$C$316</definedName>
    <definedName name="Montgomery">'ATP Table (2)'!$C$317:$C$318</definedName>
    <definedName name="Moore">'ATP Table (2)'!$C$319:$C$320</definedName>
    <definedName name="Morgan">'ATP Table (2)'!$C$321:$C$325</definedName>
    <definedName name="Obion">'ATP Table (2)'!$C$326:$C$336</definedName>
    <definedName name="Overton">'ATP Table (2)'!$C$337:$C$338</definedName>
    <definedName name="Perry">'ATP Table (2)'!$C$339:$C$341</definedName>
    <definedName name="Pickett">'ATP Table (2)'!$C$342:$C$343</definedName>
    <definedName name="Polk">'ATP Table (2)'!$C$344:$C$347</definedName>
    <definedName name="_xlnm.Print_Area" localSheetId="0">'Budget Template'!$A$1:$Y$67</definedName>
    <definedName name="_xlnm.Print_Area" localSheetId="1">'Grant Budget'!$A$1:$I$28</definedName>
    <definedName name="Putnam">'ATP Table (2)'!$C$348:$C$352</definedName>
    <definedName name="Rhea">'ATP Table (2)'!$C$353:$C$356</definedName>
    <definedName name="Roane">'ATP Table (2)'!$C$357:$C$363</definedName>
    <definedName name="Robertson">'ATP Table (2)'!$C$364:$C$375</definedName>
    <definedName name="Rutherford">'ATP Table (2)'!$C$376:$C$380</definedName>
    <definedName name="Scott">'ATP Table (2)'!$C$381:$C$384</definedName>
    <definedName name="Sequatchie">'ATP Table (2)'!$C$385:$C$386</definedName>
    <definedName name="Sevier">'ATP Table (2)'!$C$387:$C$391</definedName>
    <definedName name="Shelby">'ATP Table (2)'!$C$392:$C$399</definedName>
    <definedName name="Smith">'ATP Table (2)'!$C$400:$C$403</definedName>
    <definedName name="Stewart">'ATP Table (2)'!$C$404:$C$407</definedName>
    <definedName name="Sullivan">'ATP Table (2)'!$C$408:$C$412</definedName>
    <definedName name="Sumner">'ATP Table (2)'!$C$413:$C$422</definedName>
    <definedName name="Tipton">'ATP Table (2)'!$C$423:$C$431</definedName>
    <definedName name="Trousdale">'ATP Table (2)'!$C$432:$C$433</definedName>
    <definedName name="Unicoi">'ATP Table (2)'!$C$434:$C$436</definedName>
    <definedName name="Union">'ATP Table (2)'!$C$437:$C$440</definedName>
    <definedName name="Van_Buren">'ATP Table (2)'!$C$441:$C$442</definedName>
    <definedName name="Warren">'ATP Table (2)'!$C$443:$C$447</definedName>
    <definedName name="Washington">'ATP Table (2)'!$C$448:$C$450</definedName>
    <definedName name="Wayne">'ATP Table (2)'!$C$451:$C$455</definedName>
    <definedName name="Weakley">'ATP Table (2)'!$C$456:$C$462</definedName>
    <definedName name="White">'ATP Table (2)'!$C$463:$C$465</definedName>
    <definedName name="Williamson">'ATP Table (2)'!$C$466:$C$472</definedName>
    <definedName name="Wilson">'ATP Table (2)'!$C$473:$C$476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1" l="1"/>
  <c r="C64" i="11"/>
  <c r="C28" i="11"/>
  <c r="C25" i="11"/>
  <c r="E40" i="5"/>
  <c r="B40" i="5"/>
  <c r="I51" i="11" l="1"/>
  <c r="I52" i="11" l="1"/>
  <c r="H22" i="4" l="1"/>
  <c r="G21" i="4"/>
  <c r="E20" i="5" l="1"/>
  <c r="B20" i="5"/>
  <c r="C3" i="11" l="1"/>
  <c r="G4" i="16" l="1"/>
  <c r="I40" i="11"/>
  <c r="E30" i="5" l="1"/>
  <c r="E10" i="5"/>
  <c r="C11" i="11" l="1"/>
  <c r="C8" i="11"/>
  <c r="G6" i="16"/>
  <c r="F7" i="16"/>
  <c r="F9" i="16" s="1"/>
  <c r="F23" i="16" s="1"/>
  <c r="B23" i="16" l="1"/>
  <c r="B12" i="16"/>
  <c r="B25" i="16" l="1"/>
  <c r="B42" i="16" s="1"/>
  <c r="B51" i="16" s="1"/>
  <c r="I57" i="11"/>
  <c r="I56" i="11"/>
  <c r="I55" i="11"/>
  <c r="I54" i="11"/>
  <c r="I53" i="11"/>
  <c r="I50" i="11"/>
  <c r="W50" i="11" s="1"/>
  <c r="I49" i="11"/>
  <c r="W49" i="11" s="1"/>
  <c r="I48" i="11"/>
  <c r="W48" i="11" s="1"/>
  <c r="I47" i="11"/>
  <c r="I46" i="11"/>
  <c r="I45" i="11"/>
  <c r="I44" i="11"/>
  <c r="I43" i="11"/>
  <c r="W53" i="11" l="1"/>
  <c r="W45" i="11"/>
  <c r="D50" i="16"/>
  <c r="E50" i="16" s="1"/>
  <c r="F50" i="16" s="1"/>
  <c r="D43" i="16"/>
  <c r="B55" i="16"/>
  <c r="D51" i="16"/>
  <c r="D54" i="16"/>
  <c r="B56" i="16"/>
  <c r="B45" i="16"/>
  <c r="D44" i="16"/>
  <c r="E44" i="16" s="1"/>
  <c r="F44" i="16" s="1"/>
  <c r="D53" i="16"/>
  <c r="E53" i="16" s="1"/>
  <c r="F53" i="16" s="1"/>
  <c r="B46" i="16"/>
  <c r="D48" i="16"/>
  <c r="D57" i="16"/>
  <c r="B54" i="16"/>
  <c r="D47" i="16"/>
  <c r="D52" i="16"/>
  <c r="E52" i="16" s="1"/>
  <c r="F52" i="16" s="1"/>
  <c r="D45" i="16"/>
  <c r="B44" i="16"/>
  <c r="B53" i="16"/>
  <c r="B43" i="16"/>
  <c r="D46" i="16"/>
  <c r="D55" i="16"/>
  <c r="D56" i="16"/>
  <c r="D49" i="16"/>
  <c r="B52" i="16"/>
  <c r="B57" i="16"/>
  <c r="B47" i="16"/>
  <c r="B48" i="16"/>
  <c r="B49" i="16"/>
  <c r="B50" i="16"/>
  <c r="W57" i="11"/>
  <c r="W54" i="11"/>
  <c r="W46" i="11"/>
  <c r="W44" i="11"/>
  <c r="E43" i="16" l="1"/>
  <c r="F43" i="16" s="1"/>
  <c r="C53" i="16"/>
  <c r="C44" i="16"/>
  <c r="C46" i="16"/>
  <c r="E46" i="16" s="1"/>
  <c r="F46" i="16" s="1"/>
  <c r="C56" i="16"/>
  <c r="E56" i="16" s="1"/>
  <c r="F56" i="16" s="1"/>
  <c r="C49" i="16"/>
  <c r="E49" i="16" s="1"/>
  <c r="F49" i="16" s="1"/>
  <c r="C45" i="16"/>
  <c r="E45" i="16" s="1"/>
  <c r="F45" i="16" s="1"/>
  <c r="C55" i="16"/>
  <c r="E55" i="16" s="1"/>
  <c r="F55" i="16" s="1"/>
  <c r="C48" i="16"/>
  <c r="E48" i="16" s="1"/>
  <c r="F48" i="16" s="1"/>
  <c r="C54" i="16"/>
  <c r="C47" i="16"/>
  <c r="E47" i="16" s="1"/>
  <c r="F47" i="16" s="1"/>
  <c r="C57" i="16"/>
  <c r="E57" i="16" s="1"/>
  <c r="F57" i="16" s="1"/>
  <c r="E51" i="16"/>
  <c r="F51" i="16" s="1"/>
  <c r="C51" i="16"/>
  <c r="C50" i="16"/>
  <c r="C52" i="16"/>
  <c r="E54" i="16" l="1"/>
  <c r="F54" i="16" s="1"/>
  <c r="F59" i="16" s="1"/>
  <c r="B32" i="16" s="1"/>
  <c r="F19" i="16" s="1"/>
  <c r="A476" i="15"/>
  <c r="A475" i="15"/>
  <c r="A474" i="15"/>
  <c r="A473" i="15"/>
  <c r="A472" i="15"/>
  <c r="A471" i="15"/>
  <c r="A470" i="15"/>
  <c r="A469" i="15"/>
  <c r="A468" i="15"/>
  <c r="A467" i="15"/>
  <c r="A466" i="15"/>
  <c r="A465" i="15"/>
  <c r="A464" i="15"/>
  <c r="A463" i="15"/>
  <c r="A462" i="15"/>
  <c r="A461" i="15"/>
  <c r="A460" i="15"/>
  <c r="A459" i="15"/>
  <c r="A458" i="15"/>
  <c r="A457" i="15"/>
  <c r="A456" i="15"/>
  <c r="A455" i="15"/>
  <c r="A454" i="15"/>
  <c r="A453" i="15"/>
  <c r="A452" i="15"/>
  <c r="A451" i="15"/>
  <c r="A450" i="15"/>
  <c r="A449" i="15"/>
  <c r="A448" i="15"/>
  <c r="A447" i="15"/>
  <c r="A446" i="15"/>
  <c r="A445" i="15"/>
  <c r="A444" i="15"/>
  <c r="A443" i="15"/>
  <c r="A442" i="15"/>
  <c r="A441" i="15"/>
  <c r="A440" i="15"/>
  <c r="A439" i="15"/>
  <c r="A438" i="15"/>
  <c r="A437" i="15"/>
  <c r="A436" i="15"/>
  <c r="A435" i="15"/>
  <c r="A434" i="15"/>
  <c r="A433" i="15"/>
  <c r="A432" i="15"/>
  <c r="A431" i="15"/>
  <c r="A430" i="15"/>
  <c r="A429" i="15"/>
  <c r="A428" i="15"/>
  <c r="A427" i="15"/>
  <c r="A426" i="15"/>
  <c r="A425" i="15"/>
  <c r="A424" i="15"/>
  <c r="A423" i="15"/>
  <c r="A422" i="15"/>
  <c r="A421" i="15"/>
  <c r="A420" i="15"/>
  <c r="A419" i="15"/>
  <c r="A418" i="15"/>
  <c r="A417" i="15"/>
  <c r="A416" i="15"/>
  <c r="A415" i="15"/>
  <c r="A414" i="15"/>
  <c r="A413" i="15"/>
  <c r="A412" i="15"/>
  <c r="A411" i="15"/>
  <c r="A410" i="15"/>
  <c r="A409" i="15"/>
  <c r="A408" i="15"/>
  <c r="A407" i="15"/>
  <c r="A406" i="15"/>
  <c r="A405" i="15"/>
  <c r="A404" i="15"/>
  <c r="A403" i="15"/>
  <c r="A402" i="15"/>
  <c r="A401" i="15"/>
  <c r="A400" i="15"/>
  <c r="A398" i="15"/>
  <c r="A397" i="15"/>
  <c r="A396" i="15"/>
  <c r="A395" i="15"/>
  <c r="A394" i="15"/>
  <c r="A393" i="15"/>
  <c r="A392" i="15"/>
  <c r="A391" i="15"/>
  <c r="A390" i="15"/>
  <c r="A389" i="15"/>
  <c r="A388" i="15"/>
  <c r="A387" i="15"/>
  <c r="A386" i="15"/>
  <c r="A385" i="15"/>
  <c r="A384" i="15"/>
  <c r="A383" i="15"/>
  <c r="A382" i="15"/>
  <c r="A381" i="15"/>
  <c r="A380" i="15"/>
  <c r="A379" i="15"/>
  <c r="A378" i="15"/>
  <c r="A377" i="15"/>
  <c r="A376" i="15"/>
  <c r="A375" i="15"/>
  <c r="A374" i="15"/>
  <c r="A373" i="15"/>
  <c r="A372" i="15"/>
  <c r="A371" i="15"/>
  <c r="A370" i="15"/>
  <c r="A369" i="15"/>
  <c r="A368" i="15"/>
  <c r="A367" i="15"/>
  <c r="A366" i="15"/>
  <c r="A365" i="15"/>
  <c r="A364" i="15"/>
  <c r="A363" i="15"/>
  <c r="A362" i="15"/>
  <c r="A361" i="15"/>
  <c r="A360" i="15"/>
  <c r="A359" i="15"/>
  <c r="A358" i="15"/>
  <c r="A357" i="15"/>
  <c r="A356" i="15"/>
  <c r="A355" i="15"/>
  <c r="A354" i="15"/>
  <c r="A353" i="15"/>
  <c r="A352" i="15"/>
  <c r="A351" i="15"/>
  <c r="A350" i="15"/>
  <c r="A349" i="15"/>
  <c r="A348" i="15"/>
  <c r="A347" i="15"/>
  <c r="A346" i="15"/>
  <c r="A345" i="15"/>
  <c r="A344" i="15"/>
  <c r="A343" i="15"/>
  <c r="A342" i="15"/>
  <c r="A341" i="15"/>
  <c r="A340" i="15"/>
  <c r="A339" i="15"/>
  <c r="A338" i="15"/>
  <c r="A337" i="15"/>
  <c r="A336" i="15"/>
  <c r="A335" i="15"/>
  <c r="A334" i="15"/>
  <c r="A333" i="15"/>
  <c r="A332" i="15"/>
  <c r="A331" i="15"/>
  <c r="A330" i="15"/>
  <c r="A329" i="15"/>
  <c r="A328" i="15"/>
  <c r="A327" i="15"/>
  <c r="A326" i="15"/>
  <c r="A325" i="15"/>
  <c r="A324" i="15"/>
  <c r="A323" i="15"/>
  <c r="A322" i="15"/>
  <c r="A321" i="15"/>
  <c r="A320" i="15"/>
  <c r="A319" i="15"/>
  <c r="A318" i="15"/>
  <c r="A317" i="15"/>
  <c r="A316" i="15"/>
  <c r="A315" i="15"/>
  <c r="A314" i="15"/>
  <c r="A313" i="15"/>
  <c r="A312" i="15"/>
  <c r="A311" i="15"/>
  <c r="A310" i="15"/>
  <c r="A309" i="15"/>
  <c r="A308" i="15"/>
  <c r="A307" i="15"/>
  <c r="A306" i="15"/>
  <c r="A305" i="15"/>
  <c r="A304" i="15"/>
  <c r="A303" i="15"/>
  <c r="A302" i="15"/>
  <c r="A301" i="15"/>
  <c r="A300" i="15"/>
  <c r="A299" i="15"/>
  <c r="A298" i="15"/>
  <c r="A297" i="15"/>
  <c r="A296" i="15"/>
  <c r="A295" i="15"/>
  <c r="A294" i="15"/>
  <c r="A293" i="15"/>
  <c r="A292" i="15"/>
  <c r="A291" i="15"/>
  <c r="A290" i="15"/>
  <c r="A289" i="15"/>
  <c r="A288" i="15"/>
  <c r="A287" i="15"/>
  <c r="A286" i="15"/>
  <c r="A285" i="15"/>
  <c r="A284" i="15"/>
  <c r="A283" i="15"/>
  <c r="A282" i="15"/>
  <c r="A281" i="15"/>
  <c r="A280" i="15"/>
  <c r="A279" i="15"/>
  <c r="A278" i="15"/>
  <c r="A277" i="15"/>
  <c r="A276" i="15"/>
  <c r="A275" i="15"/>
  <c r="A274" i="15"/>
  <c r="A273" i="15"/>
  <c r="A272" i="15"/>
  <c r="A271" i="15"/>
  <c r="A270" i="15"/>
  <c r="A269" i="15"/>
  <c r="A268" i="15"/>
  <c r="A267" i="15"/>
  <c r="A266" i="15"/>
  <c r="A265" i="15"/>
  <c r="A264" i="15"/>
  <c r="A263" i="15"/>
  <c r="A262" i="15"/>
  <c r="A261" i="15"/>
  <c r="A260" i="15"/>
  <c r="A259" i="15"/>
  <c r="A258" i="15"/>
  <c r="A257" i="15"/>
  <c r="A256" i="15"/>
  <c r="A255" i="15"/>
  <c r="A254" i="15"/>
  <c r="A253" i="15"/>
  <c r="A252" i="15"/>
  <c r="A251" i="15"/>
  <c r="A250" i="15"/>
  <c r="A249" i="15"/>
  <c r="A248" i="15"/>
  <c r="A247" i="15"/>
  <c r="A246" i="15"/>
  <c r="A245" i="15"/>
  <c r="A244" i="15"/>
  <c r="A243" i="15"/>
  <c r="A242" i="15"/>
  <c r="A241" i="15"/>
  <c r="A240" i="15"/>
  <c r="A239" i="15"/>
  <c r="A238" i="15"/>
  <c r="A237" i="15"/>
  <c r="A236" i="15"/>
  <c r="A235" i="15"/>
  <c r="A234" i="15"/>
  <c r="A233" i="15"/>
  <c r="A232" i="15"/>
  <c r="A231" i="15"/>
  <c r="A230" i="15"/>
  <c r="A229" i="15"/>
  <c r="A228" i="15"/>
  <c r="A227" i="15"/>
  <c r="A226" i="15"/>
  <c r="A225" i="15"/>
  <c r="A224" i="15"/>
  <c r="A223" i="15"/>
  <c r="A222" i="15"/>
  <c r="A221" i="15"/>
  <c r="A220" i="15"/>
  <c r="A219" i="15"/>
  <c r="A218" i="15"/>
  <c r="A217" i="15"/>
  <c r="A216" i="15"/>
  <c r="A215" i="15"/>
  <c r="A214" i="15"/>
  <c r="A213" i="15"/>
  <c r="A212" i="15"/>
  <c r="A211" i="15"/>
  <c r="A210" i="15"/>
  <c r="A209" i="15"/>
  <c r="A208" i="15"/>
  <c r="A207" i="15"/>
  <c r="A206" i="15"/>
  <c r="A205" i="15"/>
  <c r="A204" i="15"/>
  <c r="A203" i="15"/>
  <c r="A202" i="15"/>
  <c r="A201" i="15"/>
  <c r="A200" i="15"/>
  <c r="A199" i="15"/>
  <c r="A198" i="15"/>
  <c r="A197" i="15"/>
  <c r="A196" i="15"/>
  <c r="A195" i="15"/>
  <c r="A194" i="15"/>
  <c r="A193" i="15"/>
  <c r="A192" i="15"/>
  <c r="A191" i="15"/>
  <c r="A190" i="15"/>
  <c r="A189" i="15"/>
  <c r="A188" i="15"/>
  <c r="A187" i="15"/>
  <c r="A186" i="15"/>
  <c r="A185" i="15"/>
  <c r="A184" i="15"/>
  <c r="A183" i="15"/>
  <c r="A182" i="15"/>
  <c r="A181" i="15"/>
  <c r="A180" i="15"/>
  <c r="A179" i="15"/>
  <c r="A178" i="15"/>
  <c r="A177" i="15"/>
  <c r="A176" i="15"/>
  <c r="A175" i="15"/>
  <c r="A174" i="15"/>
  <c r="A173" i="15"/>
  <c r="A172" i="15"/>
  <c r="A171" i="15"/>
  <c r="A170" i="15"/>
  <c r="A169" i="15"/>
  <c r="A168" i="15"/>
  <c r="A167" i="15"/>
  <c r="A166" i="15"/>
  <c r="A165" i="15"/>
  <c r="A164" i="15"/>
  <c r="A163" i="15"/>
  <c r="A162" i="15"/>
  <c r="A161" i="15"/>
  <c r="A160" i="15"/>
  <c r="A159" i="15"/>
  <c r="A158" i="15"/>
  <c r="A157" i="15"/>
  <c r="A156" i="15"/>
  <c r="A155" i="15"/>
  <c r="A154" i="15"/>
  <c r="A153" i="15"/>
  <c r="A152" i="15"/>
  <c r="A151" i="15"/>
  <c r="A150" i="15"/>
  <c r="A149" i="15"/>
  <c r="A148" i="15"/>
  <c r="A147" i="15"/>
  <c r="A146" i="15"/>
  <c r="A145" i="15"/>
  <c r="A144" i="15"/>
  <c r="A143" i="15"/>
  <c r="A142" i="15"/>
  <c r="A141" i="15"/>
  <c r="A140" i="15"/>
  <c r="A139" i="15"/>
  <c r="A138" i="15"/>
  <c r="A137" i="15"/>
  <c r="A136" i="15"/>
  <c r="A135" i="15"/>
  <c r="A134" i="15"/>
  <c r="A133" i="15"/>
  <c r="A132" i="15"/>
  <c r="A131" i="15"/>
  <c r="A130" i="15"/>
  <c r="A128" i="15"/>
  <c r="A127" i="15"/>
  <c r="A129" i="15"/>
  <c r="A126" i="15"/>
  <c r="A125" i="15"/>
  <c r="A124" i="15"/>
  <c r="A123" i="15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F27" i="16" l="1"/>
  <c r="AF6" i="11"/>
  <c r="C19" i="11" s="1"/>
  <c r="C6" i="11"/>
  <c r="C20" i="11" l="1"/>
  <c r="C12" i="11"/>
  <c r="I42" i="11"/>
  <c r="I41" i="11"/>
  <c r="D6" i="11"/>
  <c r="C21" i="11" l="1"/>
  <c r="C17" i="5" s="1"/>
  <c r="C14" i="11"/>
  <c r="C13" i="11" s="1"/>
  <c r="B107" i="13"/>
  <c r="B106" i="13"/>
  <c r="B105" i="13"/>
  <c r="C104" i="13"/>
  <c r="B104" i="13"/>
  <c r="C39" i="5" l="1"/>
  <c r="D39" i="5" s="1"/>
  <c r="F39" i="5" s="1"/>
  <c r="C5" i="5"/>
  <c r="E51" i="11"/>
  <c r="E57" i="11"/>
  <c r="E49" i="11"/>
  <c r="E41" i="11"/>
  <c r="E40" i="11"/>
  <c r="E50" i="11"/>
  <c r="E42" i="11"/>
  <c r="E48" i="11"/>
  <c r="E47" i="11"/>
  <c r="E32" i="11"/>
  <c r="E54" i="11"/>
  <c r="E45" i="11"/>
  <c r="E46" i="11"/>
  <c r="E53" i="11"/>
  <c r="E44" i="11"/>
  <c r="C9" i="5"/>
  <c r="C16" i="11"/>
  <c r="C26" i="5"/>
  <c r="C7" i="5"/>
  <c r="C36" i="5"/>
  <c r="D36" i="5" s="1"/>
  <c r="F36" i="5" s="1"/>
  <c r="D34" i="11"/>
  <c r="E34" i="11" s="1"/>
  <c r="C29" i="5"/>
  <c r="C18" i="5"/>
  <c r="C15" i="5"/>
  <c r="C16" i="5"/>
  <c r="C37" i="5"/>
  <c r="D37" i="5" s="1"/>
  <c r="F37" i="5" s="1"/>
  <c r="C38" i="5"/>
  <c r="D38" i="5" s="1"/>
  <c r="F38" i="5" s="1"/>
  <c r="C8" i="5"/>
  <c r="C35" i="5"/>
  <c r="D35" i="5" s="1"/>
  <c r="F35" i="5" s="1"/>
  <c r="C24" i="5"/>
  <c r="C14" i="5"/>
  <c r="C28" i="5"/>
  <c r="C25" i="5"/>
  <c r="C27" i="5"/>
  <c r="C6" i="5"/>
  <c r="C22" i="11"/>
  <c r="C19" i="5"/>
  <c r="C34" i="5"/>
  <c r="D34" i="5" s="1"/>
  <c r="F34" i="5" s="1"/>
  <c r="F40" i="5" s="1"/>
  <c r="E56" i="11" s="1"/>
  <c r="C4" i="5"/>
  <c r="B30" i="5"/>
  <c r="W41" i="11"/>
  <c r="F11" i="16"/>
  <c r="W42" i="11"/>
  <c r="B34" i="16"/>
  <c r="B108" i="13"/>
  <c r="D40" i="5" l="1"/>
  <c r="C40" i="5"/>
  <c r="D56" i="11" s="1"/>
  <c r="C56" i="11" s="1"/>
  <c r="F13" i="16"/>
  <c r="F24" i="16"/>
  <c r="B36" i="16"/>
  <c r="F20" i="16"/>
  <c r="F21" i="16" s="1"/>
  <c r="F28" i="16" l="1"/>
  <c r="F29" i="16" s="1"/>
  <c r="F25" i="16"/>
  <c r="D5" i="4"/>
  <c r="G27" i="4" l="1"/>
  <c r="G24" i="4"/>
  <c r="G16" i="4"/>
  <c r="G15" i="4"/>
  <c r="G14" i="4"/>
  <c r="G12" i="4"/>
  <c r="G11" i="4"/>
  <c r="N59" i="11"/>
  <c r="K59" i="11"/>
  <c r="H59" i="11"/>
  <c r="O57" i="11"/>
  <c r="O56" i="11"/>
  <c r="O55" i="11"/>
  <c r="H25" i="4"/>
  <c r="O54" i="11"/>
  <c r="O53" i="11"/>
  <c r="O51" i="11"/>
  <c r="O50" i="11"/>
  <c r="O49" i="11"/>
  <c r="O48" i="11"/>
  <c r="O47" i="11"/>
  <c r="O46" i="11"/>
  <c r="T46" i="11"/>
  <c r="O45" i="11"/>
  <c r="T45" i="11"/>
  <c r="O44" i="11"/>
  <c r="T44" i="11"/>
  <c r="O43" i="11"/>
  <c r="O42" i="11"/>
  <c r="O41" i="11"/>
  <c r="H11" i="4" l="1"/>
  <c r="T41" i="11"/>
  <c r="H27" i="4"/>
  <c r="T57" i="11"/>
  <c r="V42" i="11"/>
  <c r="H12" i="4"/>
  <c r="H24" i="4"/>
  <c r="V45" i="11"/>
  <c r="H15" i="4"/>
  <c r="V53" i="11"/>
  <c r="H23" i="4"/>
  <c r="V44" i="11"/>
  <c r="H14" i="4"/>
  <c r="V46" i="11"/>
  <c r="H16" i="4"/>
  <c r="V48" i="11"/>
  <c r="H18" i="4"/>
  <c r="V50" i="11"/>
  <c r="H20" i="4"/>
  <c r="H13" i="4"/>
  <c r="V47" i="11"/>
  <c r="H17" i="4"/>
  <c r="V49" i="11"/>
  <c r="H19" i="4"/>
  <c r="V57" i="11"/>
  <c r="V41" i="11"/>
  <c r="T54" i="11"/>
  <c r="T42" i="11"/>
  <c r="V54" i="11"/>
  <c r="L41" i="11" l="1"/>
  <c r="Q41" i="11" s="1"/>
  <c r="R41" i="11" s="1"/>
  <c r="U41" i="11"/>
  <c r="U54" i="11"/>
  <c r="L45" i="11" l="1"/>
  <c r="Q45" i="11" s="1"/>
  <c r="R45" i="11" s="1"/>
  <c r="U45" i="11"/>
  <c r="U44" i="11"/>
  <c r="U57" i="11"/>
  <c r="L46" i="11"/>
  <c r="Q46" i="11" s="1"/>
  <c r="R46" i="11" s="1"/>
  <c r="U46" i="11"/>
  <c r="U42" i="11"/>
  <c r="H26" i="4" l="1"/>
  <c r="F59" i="11" l="1"/>
  <c r="V56" i="11"/>
  <c r="V51" i="11" l="1"/>
  <c r="T51" i="11"/>
  <c r="W51" i="11"/>
  <c r="H21" i="4"/>
  <c r="U51" i="11" l="1"/>
  <c r="I27" i="4"/>
  <c r="I24" i="4" l="1"/>
  <c r="I12" i="4"/>
  <c r="I16" i="4"/>
  <c r="I15" i="4"/>
  <c r="I14" i="4"/>
  <c r="I11" i="4"/>
  <c r="I21" i="4" l="1"/>
  <c r="V40" i="11"/>
  <c r="O40" i="11"/>
  <c r="H10" i="4" l="1"/>
  <c r="H28" i="4" s="1"/>
  <c r="I59" i="11"/>
  <c r="W40" i="11"/>
  <c r="G10" i="4"/>
  <c r="T40" i="11"/>
  <c r="U40" i="11"/>
  <c r="I10" i="4" l="1"/>
  <c r="L40" i="11"/>
  <c r="Q40" i="11" l="1"/>
  <c r="Q59" i="11" l="1"/>
  <c r="R59" i="11" s="1"/>
  <c r="R40" i="11"/>
  <c r="W47" i="11"/>
  <c r="T47" i="11"/>
  <c r="U47" i="11"/>
  <c r="L47" i="11" l="1"/>
  <c r="G17" i="4"/>
  <c r="I17" i="4" l="1"/>
  <c r="Q47" i="11"/>
  <c r="R47" i="11" s="1"/>
  <c r="U50" i="11"/>
  <c r="U48" i="11"/>
  <c r="G20" i="4"/>
  <c r="I20" i="4" s="1"/>
  <c r="T50" i="11"/>
  <c r="L50" i="11"/>
  <c r="Q50" i="11" s="1"/>
  <c r="R50" i="11" s="1"/>
  <c r="G18" i="4"/>
  <c r="I18" i="4" s="1"/>
  <c r="T49" i="11"/>
  <c r="T48" i="11"/>
  <c r="G19" i="4" l="1"/>
  <c r="U49" i="11"/>
  <c r="L49" i="11"/>
  <c r="Q49" i="11" s="1"/>
  <c r="R49" i="11" s="1"/>
  <c r="L48" i="11" l="1"/>
  <c r="I19" i="4"/>
  <c r="Q48" i="11" l="1"/>
  <c r="R48" i="11" s="1"/>
  <c r="U53" i="11"/>
  <c r="T53" i="11" l="1"/>
  <c r="G23" i="4"/>
  <c r="I23" i="4" l="1"/>
  <c r="B10" i="5" l="1"/>
  <c r="D29" i="5" l="1"/>
  <c r="F29" i="5" s="1"/>
  <c r="D25" i="5" l="1"/>
  <c r="F25" i="5" s="1"/>
  <c r="D5" i="5"/>
  <c r="F5" i="5" s="1"/>
  <c r="D16" i="5"/>
  <c r="F16" i="5" s="1"/>
  <c r="D7" i="5"/>
  <c r="F7" i="5" s="1"/>
  <c r="D26" i="5"/>
  <c r="F26" i="5" s="1"/>
  <c r="D17" i="5"/>
  <c r="F17" i="5" s="1"/>
  <c r="D27" i="5"/>
  <c r="F27" i="5" s="1"/>
  <c r="D28" i="5"/>
  <c r="F28" i="5" s="1"/>
  <c r="D18" i="5"/>
  <c r="F18" i="5" s="1"/>
  <c r="D8" i="5"/>
  <c r="F8" i="5" s="1"/>
  <c r="D19" i="5"/>
  <c r="F19" i="5" s="1"/>
  <c r="D6" i="5"/>
  <c r="F6" i="5" s="1"/>
  <c r="D9" i="5"/>
  <c r="F9" i="5" s="1"/>
  <c r="D15" i="5"/>
  <c r="F15" i="5" s="1"/>
  <c r="H34" i="11" l="1"/>
  <c r="D24" i="5"/>
  <c r="C30" i="5"/>
  <c r="D55" i="11" s="1"/>
  <c r="L57" i="11"/>
  <c r="Q57" i="11" s="1"/>
  <c r="R57" i="11" s="1"/>
  <c r="G26" i="4"/>
  <c r="I26" i="4" s="1"/>
  <c r="T56" i="11"/>
  <c r="F32" i="11"/>
  <c r="H32" i="11" s="1"/>
  <c r="D14" i="5"/>
  <c r="C20" i="5"/>
  <c r="D52" i="11" s="1"/>
  <c r="D4" i="5"/>
  <c r="C10" i="5"/>
  <c r="D43" i="11" s="1"/>
  <c r="D28" i="11" s="1"/>
  <c r="C63" i="11" s="1"/>
  <c r="V43" i="11" l="1"/>
  <c r="V52" i="11"/>
  <c r="V55" i="11"/>
  <c r="L56" i="11"/>
  <c r="Q56" i="11" s="1"/>
  <c r="R56" i="11" s="1"/>
  <c r="W56" i="11"/>
  <c r="U56" i="11"/>
  <c r="D10" i="5"/>
  <c r="F4" i="5"/>
  <c r="F10" i="5" s="1"/>
  <c r="E43" i="11" s="1"/>
  <c r="T43" i="11"/>
  <c r="D59" i="11"/>
  <c r="H22" i="11" s="1"/>
  <c r="C43" i="11"/>
  <c r="G13" i="4"/>
  <c r="G22" i="4"/>
  <c r="I22" i="4" s="1"/>
  <c r="C52" i="11"/>
  <c r="T52" i="11"/>
  <c r="T55" i="11"/>
  <c r="C55" i="11"/>
  <c r="G25" i="4"/>
  <c r="I25" i="4" s="1"/>
  <c r="D20" i="5"/>
  <c r="F14" i="5"/>
  <c r="F20" i="5" s="1"/>
  <c r="E52" i="11" s="1"/>
  <c r="D30" i="5"/>
  <c r="F24" i="5"/>
  <c r="F30" i="5" s="1"/>
  <c r="E55" i="11" s="1"/>
  <c r="L44" i="11" l="1"/>
  <c r="Q44" i="11" s="1"/>
  <c r="R44" i="11" s="1"/>
  <c r="L42" i="11"/>
  <c r="Q42" i="11" s="1"/>
  <c r="R42" i="11" s="1"/>
  <c r="L53" i="11"/>
  <c r="Q53" i="11" s="1"/>
  <c r="R53" i="11" s="1"/>
  <c r="L51" i="11"/>
  <c r="Q51" i="11" s="1"/>
  <c r="R51" i="11" s="1"/>
  <c r="W55" i="11"/>
  <c r="L54" i="11"/>
  <c r="Q54" i="11" s="1"/>
  <c r="R54" i="11" s="1"/>
  <c r="U55" i="11"/>
  <c r="U52" i="11"/>
  <c r="W52" i="11"/>
  <c r="U43" i="11"/>
  <c r="W43" i="11"/>
  <c r="E59" i="11"/>
  <c r="V59" i="11" s="1"/>
  <c r="L43" i="11"/>
  <c r="C59" i="11"/>
  <c r="U59" i="11" s="1"/>
  <c r="I63" i="11"/>
  <c r="H20" i="11"/>
  <c r="H23" i="11" s="1"/>
  <c r="E12" i="11"/>
  <c r="I62" i="11"/>
  <c r="C62" i="11"/>
  <c r="L55" i="11"/>
  <c r="Q55" i="11" s="1"/>
  <c r="R55" i="11" s="1"/>
  <c r="G28" i="4"/>
  <c r="I13" i="4"/>
  <c r="I28" i="4" s="1"/>
  <c r="T59" i="11" l="1"/>
  <c r="C65" i="11"/>
  <c r="C66" i="11"/>
  <c r="W59" i="11"/>
  <c r="C67" i="11"/>
  <c r="I67" i="11" s="1"/>
  <c r="I20" i="11"/>
  <c r="Y40" i="11"/>
  <c r="Y46" i="11"/>
  <c r="H19" i="11"/>
  <c r="H21" i="11" s="1"/>
  <c r="I21" i="11" s="1"/>
  <c r="Y44" i="11"/>
  <c r="Y52" i="11"/>
  <c r="Y47" i="11"/>
  <c r="Y57" i="11"/>
  <c r="Y50" i="11"/>
  <c r="Y53" i="11"/>
  <c r="Y45" i="11"/>
  <c r="O59" i="11"/>
  <c r="Y54" i="11"/>
  <c r="Y43" i="11"/>
  <c r="Y51" i="11"/>
  <c r="Y56" i="11"/>
  <c r="Y55" i="11"/>
  <c r="Y49" i="11"/>
  <c r="Y42" i="11"/>
  <c r="Y48" i="11"/>
  <c r="Y41" i="11"/>
  <c r="E13" i="11"/>
  <c r="F13" i="11" s="1"/>
  <c r="F12" i="11"/>
  <c r="Q43" i="11"/>
  <c r="R43" i="11" s="1"/>
  <c r="L59" i="11"/>
  <c r="Y59" i="11" l="1"/>
  <c r="E14" i="11"/>
  <c r="F14" i="11" s="1"/>
</calcChain>
</file>

<file path=xl/sharedStrings.xml><?xml version="1.0" encoding="utf-8"?>
<sst xmlns="http://schemas.openxmlformats.org/spreadsheetml/2006/main" count="2520" uniqueCount="704">
  <si>
    <t>Grantee:</t>
  </si>
  <si>
    <t>Total Project Amount</t>
  </si>
  <si>
    <t>Revision 9</t>
  </si>
  <si>
    <t>Revision 10</t>
  </si>
  <si>
    <t>%</t>
  </si>
  <si>
    <t>Total</t>
  </si>
  <si>
    <t>Approved</t>
  </si>
  <si>
    <t xml:space="preserve">Other Grant </t>
  </si>
  <si>
    <t>% Local</t>
  </si>
  <si>
    <t>Local</t>
  </si>
  <si>
    <t>Grant</t>
  </si>
  <si>
    <t>Project</t>
  </si>
  <si>
    <t>Grantee</t>
  </si>
  <si>
    <t>Budget Line-Item</t>
  </si>
  <si>
    <t>Funds</t>
  </si>
  <si>
    <t>Match</t>
  </si>
  <si>
    <t>Budget</t>
  </si>
  <si>
    <t>Construction</t>
  </si>
  <si>
    <t>Construction Inspection</t>
  </si>
  <si>
    <t>Engineering Design</t>
  </si>
  <si>
    <t>Engineering (other than design)</t>
  </si>
  <si>
    <t>Legal Services</t>
  </si>
  <si>
    <t>Appraisals</t>
  </si>
  <si>
    <t>Relocation (payments and assistance to persons, businesses, or non-profit organizations, including movement to other temporary or permanent sites)</t>
  </si>
  <si>
    <t>Housing Rebilitation (loans and grants for single-unit, private-owned homes)</t>
  </si>
  <si>
    <t>Housing Inspection</t>
  </si>
  <si>
    <t>Clearance and Demolition of Structures</t>
  </si>
  <si>
    <t>Tap Fees (for "low and moderate income" beneficiaries</t>
  </si>
  <si>
    <t>Environmental Review</t>
  </si>
  <si>
    <t>Project Contingency</t>
  </si>
  <si>
    <t>Tier</t>
  </si>
  <si>
    <t>Yes</t>
  </si>
  <si>
    <t>Grantee Participation</t>
  </si>
  <si>
    <t>Warnings (see below):</t>
  </si>
  <si>
    <t>Capital Purchase</t>
  </si>
  <si>
    <t>ATTACHMENT A</t>
  </si>
  <si>
    <t>GRANT BUDGET</t>
  </si>
  <si>
    <t>GRANT CONTRACT #</t>
  </si>
  <si>
    <t>GRANTEE:</t>
  </si>
  <si>
    <t>GRANTEE CONTACT:</t>
  </si>
  <si>
    <t>PROGRAM AREA:</t>
  </si>
  <si>
    <r>
      <t xml:space="preserve">THE FOLLOWING IS APPLICABLE TO EXPENSE INCURRED IN THE PERIOD:           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>through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 xml:space="preserve">  </t>
    </r>
  </si>
  <si>
    <t>EXPENSE OBJECT LINE-ITEM CATEGORY</t>
  </si>
  <si>
    <t>GRANT CONTRACT</t>
  </si>
  <si>
    <t xml:space="preserve">GRANTEE PARTICIPATION </t>
  </si>
  <si>
    <t>TOTAL PROJECT</t>
  </si>
  <si>
    <t>Housing Rehabilitation                                                                    (loans and grants for single-unit, privately-owned homes)</t>
  </si>
  <si>
    <t>Tap Fees (for "low and moderate income" beneficiaries)</t>
  </si>
  <si>
    <t>Other Non-Personnel Expenses (Detail attached)</t>
  </si>
  <si>
    <t>Project Contingency (for potential project costs exceeding the total budget amount in line items above)</t>
  </si>
  <si>
    <t>GRAND TOTAL</t>
  </si>
  <si>
    <t>GRANT BUDGET DETAIL</t>
  </si>
  <si>
    <t>TOTAL</t>
  </si>
  <si>
    <r>
      <t xml:space="preserve">LINE-ITEM DETAIL FOR:  </t>
    </r>
    <r>
      <rPr>
        <b/>
        <sz val="8"/>
        <color indexed="10"/>
        <rFont val="Arial"/>
        <family val="2"/>
      </rPr>
      <t>OTHER NON-PERSONNEL EXPENSES</t>
    </r>
  </si>
  <si>
    <r>
      <t xml:space="preserve">Other Non-Personnel Expenses </t>
    </r>
    <r>
      <rPr>
        <sz val="12"/>
        <color rgb="FFFF0000"/>
        <rFont val="Arial"/>
        <family val="2"/>
      </rPr>
      <t>(Detail attached)</t>
    </r>
  </si>
  <si>
    <t>Washington</t>
  </si>
  <si>
    <t>% Grantee Administration</t>
  </si>
  <si>
    <t>Grantee/Project Administration</t>
  </si>
  <si>
    <t>Acquisition of Real Property</t>
  </si>
  <si>
    <t>County</t>
  </si>
  <si>
    <t>Distressed</t>
  </si>
  <si>
    <t>Shelby</t>
  </si>
  <si>
    <t>No</t>
  </si>
  <si>
    <t>Smith</t>
  </si>
  <si>
    <t>Clay</t>
  </si>
  <si>
    <t>Hickman</t>
  </si>
  <si>
    <t>Wayne</t>
  </si>
  <si>
    <t>Maury</t>
  </si>
  <si>
    <t>Putnam</t>
  </si>
  <si>
    <t>Rhea</t>
  </si>
  <si>
    <t>Polk</t>
  </si>
  <si>
    <t>Houston</t>
  </si>
  <si>
    <t>McMinn</t>
  </si>
  <si>
    <t>Sumner</t>
  </si>
  <si>
    <t>Weakley</t>
  </si>
  <si>
    <t>Henderson</t>
  </si>
  <si>
    <t>Chester</t>
  </si>
  <si>
    <t>Fentress</t>
  </si>
  <si>
    <t>Jefferson</t>
  </si>
  <si>
    <t>Marshall</t>
  </si>
  <si>
    <t>Perry</t>
  </si>
  <si>
    <t>Blount</t>
  </si>
  <si>
    <t>Warren</t>
  </si>
  <si>
    <t>Gibson</t>
  </si>
  <si>
    <t>Henry</t>
  </si>
  <si>
    <t>Bledsoe</t>
  </si>
  <si>
    <t>Giles</t>
  </si>
  <si>
    <t>Macon</t>
  </si>
  <si>
    <t>Lauderdale</t>
  </si>
  <si>
    <t>Roane</t>
  </si>
  <si>
    <t>McNairy</t>
  </si>
  <si>
    <t>Sevier</t>
  </si>
  <si>
    <t>Bedford</t>
  </si>
  <si>
    <t>Monroe</t>
  </si>
  <si>
    <t>Grundy</t>
  </si>
  <si>
    <t>Dickson</t>
  </si>
  <si>
    <t>Franklin</t>
  </si>
  <si>
    <t>Number</t>
  </si>
  <si>
    <t>Grant Budget Summary:</t>
  </si>
  <si>
    <t>% Total</t>
  </si>
  <si>
    <t>+ Local</t>
  </si>
  <si>
    <t>Line-Item</t>
  </si>
  <si>
    <t>% of</t>
  </si>
  <si>
    <t>Running Status of Maximum Grant Application Balances</t>
  </si>
  <si>
    <t>Anderson</t>
  </si>
  <si>
    <t>Benton</t>
  </si>
  <si>
    <t>Bradley</t>
  </si>
  <si>
    <t>Campbell</t>
  </si>
  <si>
    <t>Cannon</t>
  </si>
  <si>
    <t>Carroll</t>
  </si>
  <si>
    <t>Carter</t>
  </si>
  <si>
    <t>Cheatham</t>
  </si>
  <si>
    <t>Claiborne</t>
  </si>
  <si>
    <t>Cocke</t>
  </si>
  <si>
    <t>Coffee</t>
  </si>
  <si>
    <t>Crockett</t>
  </si>
  <si>
    <t>Cumberland</t>
  </si>
  <si>
    <t>Davidson</t>
  </si>
  <si>
    <t>Decatur</t>
  </si>
  <si>
    <t>DeKalb</t>
  </si>
  <si>
    <t>Dyer</t>
  </si>
  <si>
    <t>Fayette</t>
  </si>
  <si>
    <t>Grainger</t>
  </si>
  <si>
    <t>Greene</t>
  </si>
  <si>
    <t>Hamblen</t>
  </si>
  <si>
    <t>Hamilton</t>
  </si>
  <si>
    <t>Hancock</t>
  </si>
  <si>
    <t>Hardeman</t>
  </si>
  <si>
    <t>Hardin</t>
  </si>
  <si>
    <t>Hawkins</t>
  </si>
  <si>
    <t>Haywood</t>
  </si>
  <si>
    <t>Humphreys</t>
  </si>
  <si>
    <t>Jackson</t>
  </si>
  <si>
    <t>Johnson</t>
  </si>
  <si>
    <t>Knox</t>
  </si>
  <si>
    <t>Lake</t>
  </si>
  <si>
    <t>Lawrence</t>
  </si>
  <si>
    <t>Lewis</t>
  </si>
  <si>
    <t>Lincoln</t>
  </si>
  <si>
    <t>Loudon</t>
  </si>
  <si>
    <t>Madison</t>
  </si>
  <si>
    <t>Marion</t>
  </si>
  <si>
    <t>Meigs</t>
  </si>
  <si>
    <t>Montgomery</t>
  </si>
  <si>
    <t>Moore</t>
  </si>
  <si>
    <t>Morgan</t>
  </si>
  <si>
    <t>Obion</t>
  </si>
  <si>
    <t>Overton</t>
  </si>
  <si>
    <t>Pickett</t>
  </si>
  <si>
    <t>Robertson</t>
  </si>
  <si>
    <t>Rutherford</t>
  </si>
  <si>
    <t>Scott</t>
  </si>
  <si>
    <t>Sequatchie</t>
  </si>
  <si>
    <t>Stewart</t>
  </si>
  <si>
    <t>Sullivan</t>
  </si>
  <si>
    <t>Tipton</t>
  </si>
  <si>
    <t>Trousdale</t>
  </si>
  <si>
    <t>Unicoi</t>
  </si>
  <si>
    <t>Union</t>
  </si>
  <si>
    <t>Van Buren</t>
  </si>
  <si>
    <t>White</t>
  </si>
  <si>
    <t>Williamson</t>
  </si>
  <si>
    <t>Wilson</t>
  </si>
  <si>
    <t>Type of Grant Application:</t>
  </si>
  <si>
    <t/>
  </si>
  <si>
    <t>Tax Tier</t>
  </si>
  <si>
    <t>ThreeStar</t>
  </si>
  <si>
    <t>Lynchburg</t>
  </si>
  <si>
    <t>Hartsville</t>
  </si>
  <si>
    <t>Thompson's Station</t>
  </si>
  <si>
    <t>Community:</t>
  </si>
  <si>
    <t>Grantee/Applicant Ability to Pay (ATP) Rate</t>
  </si>
  <si>
    <t>Clinton</t>
  </si>
  <si>
    <t>Anderson County</t>
  </si>
  <si>
    <t>Comm Dev</t>
  </si>
  <si>
    <t>Econ Dev</t>
  </si>
  <si>
    <t>Category</t>
  </si>
  <si>
    <t>City</t>
  </si>
  <si>
    <t>Rocky Top (Lake City)</t>
  </si>
  <si>
    <t>Norris</t>
  </si>
  <si>
    <t>Oak Ridge</t>
  </si>
  <si>
    <t>Oliver Springs</t>
  </si>
  <si>
    <t>Bedford County</t>
  </si>
  <si>
    <t>Bell Buckle</t>
  </si>
  <si>
    <t>Normandy</t>
  </si>
  <si>
    <t>Shelbyville</t>
  </si>
  <si>
    <t>Wartrace</t>
  </si>
  <si>
    <t>Benton County</t>
  </si>
  <si>
    <t>Big Sandy</t>
  </si>
  <si>
    <t>Camden</t>
  </si>
  <si>
    <t>Bledsoe County</t>
  </si>
  <si>
    <t>Pikeville</t>
  </si>
  <si>
    <t>Blount County</t>
  </si>
  <si>
    <t>Alcoa</t>
  </si>
  <si>
    <t>Friendsville</t>
  </si>
  <si>
    <t>Louisville</t>
  </si>
  <si>
    <t>Maryville</t>
  </si>
  <si>
    <t>Rockford</t>
  </si>
  <si>
    <t>Townsend</t>
  </si>
  <si>
    <t>Bradley County</t>
  </si>
  <si>
    <t>Charleston</t>
  </si>
  <si>
    <t>Cleveland</t>
  </si>
  <si>
    <t>Campbell County</t>
  </si>
  <si>
    <t>Caryville</t>
  </si>
  <si>
    <t>Jacksboro</t>
  </si>
  <si>
    <t>Jellico</t>
  </si>
  <si>
    <t>La Follette</t>
  </si>
  <si>
    <t>Cannon County</t>
  </si>
  <si>
    <t>Auburntown</t>
  </si>
  <si>
    <t>Woodbury</t>
  </si>
  <si>
    <t>Carroll County</t>
  </si>
  <si>
    <t>Atwood</t>
  </si>
  <si>
    <t>Bruceton</t>
  </si>
  <si>
    <t>Clarksburg</t>
  </si>
  <si>
    <t>Hollow Rock</t>
  </si>
  <si>
    <t>Huntingdon</t>
  </si>
  <si>
    <t>McKenzie</t>
  </si>
  <si>
    <t>McLemoresville</t>
  </si>
  <si>
    <t>Trezevant</t>
  </si>
  <si>
    <t>Carter County</t>
  </si>
  <si>
    <t>Elizabethton</t>
  </si>
  <si>
    <t>Johnson City</t>
  </si>
  <si>
    <t>Watauga</t>
  </si>
  <si>
    <t>Cheatham County</t>
  </si>
  <si>
    <t>Ashland City</t>
  </si>
  <si>
    <t>Kingston Springs</t>
  </si>
  <si>
    <t>Pegram</t>
  </si>
  <si>
    <t>Pleasant View</t>
  </si>
  <si>
    <t>Chester County</t>
  </si>
  <si>
    <t>Enville</t>
  </si>
  <si>
    <t>Milledgeville</t>
  </si>
  <si>
    <t>Silerton</t>
  </si>
  <si>
    <t>Claiborne County</t>
  </si>
  <si>
    <t>Cumberland Gap</t>
  </si>
  <si>
    <t>Harrogate</t>
  </si>
  <si>
    <t>New Tazewell</t>
  </si>
  <si>
    <t>Tazewell</t>
  </si>
  <si>
    <t>Clay County</t>
  </si>
  <si>
    <t>Celina</t>
  </si>
  <si>
    <t>Cocke County</t>
  </si>
  <si>
    <t>Newport</t>
  </si>
  <si>
    <t>Parrottsville</t>
  </si>
  <si>
    <t>Coffee County</t>
  </si>
  <si>
    <t>Manchester</t>
  </si>
  <si>
    <t>Tullahoma</t>
  </si>
  <si>
    <t>Crockett County</t>
  </si>
  <si>
    <t>Alamo</t>
  </si>
  <si>
    <t>Bells</t>
  </si>
  <si>
    <t>Friendship</t>
  </si>
  <si>
    <t>Gadsden</t>
  </si>
  <si>
    <t>Maury City</t>
  </si>
  <si>
    <t>Cumberland County</t>
  </si>
  <si>
    <t>Crab Orchard</t>
  </si>
  <si>
    <t>Crossville</t>
  </si>
  <si>
    <t>Pleasant Hill</t>
  </si>
  <si>
    <t>Davidson County</t>
  </si>
  <si>
    <t>Belle Meade</t>
  </si>
  <si>
    <t>Berry Hill</t>
  </si>
  <si>
    <t>Forest Hills</t>
  </si>
  <si>
    <t>Goodlettsville</t>
  </si>
  <si>
    <t>Lakewood</t>
  </si>
  <si>
    <t>Nashville</t>
  </si>
  <si>
    <t>Oak Hill</t>
  </si>
  <si>
    <t>Ridgetop</t>
  </si>
  <si>
    <t>Decatur County</t>
  </si>
  <si>
    <t>Decaturville</t>
  </si>
  <si>
    <t>Parsons</t>
  </si>
  <si>
    <t>Scotts Hill</t>
  </si>
  <si>
    <t>DeKalb County</t>
  </si>
  <si>
    <t>Alexandria</t>
  </si>
  <si>
    <t>Dowelltown</t>
  </si>
  <si>
    <t>Liberty</t>
  </si>
  <si>
    <t>Smithville</t>
  </si>
  <si>
    <t>Dickson County</t>
  </si>
  <si>
    <t>Burns</t>
  </si>
  <si>
    <t>Charlotte</t>
  </si>
  <si>
    <t>Slayden</t>
  </si>
  <si>
    <t>Vanleer</t>
  </si>
  <si>
    <t>White Bluff</t>
  </si>
  <si>
    <t>Dyer County</t>
  </si>
  <si>
    <t>Dyersburg</t>
  </si>
  <si>
    <t>Newbern</t>
  </si>
  <si>
    <t>Trimble</t>
  </si>
  <si>
    <t>Fayette County</t>
  </si>
  <si>
    <t>Braden</t>
  </si>
  <si>
    <t>Gallaway</t>
  </si>
  <si>
    <t>Grand Junction</t>
  </si>
  <si>
    <t>Hickory Withe</t>
  </si>
  <si>
    <t>La Grange</t>
  </si>
  <si>
    <t>Moscow</t>
  </si>
  <si>
    <t>Oakland</t>
  </si>
  <si>
    <t>Piperton</t>
  </si>
  <si>
    <t>Rossville</t>
  </si>
  <si>
    <t>Somerville</t>
  </si>
  <si>
    <t>Williston</t>
  </si>
  <si>
    <t>Fentress County</t>
  </si>
  <si>
    <t>Allardt</t>
  </si>
  <si>
    <t>Jamestown</t>
  </si>
  <si>
    <t>Frankin</t>
  </si>
  <si>
    <t>Decherd</t>
  </si>
  <si>
    <t>Franklin County</t>
  </si>
  <si>
    <t>Cowan</t>
  </si>
  <si>
    <t>Estill Springs</t>
  </si>
  <si>
    <t>Huntland</t>
  </si>
  <si>
    <t>Winchester</t>
  </si>
  <si>
    <t>Gibson County</t>
  </si>
  <si>
    <t>Bradford</t>
  </si>
  <si>
    <t>Humboldt</t>
  </si>
  <si>
    <t>Kenton</t>
  </si>
  <si>
    <t>Medina</t>
  </si>
  <si>
    <t>Milan</t>
  </si>
  <si>
    <t>Trenton</t>
  </si>
  <si>
    <t>Yorkville</t>
  </si>
  <si>
    <t>Giles County</t>
  </si>
  <si>
    <t>Ardmore</t>
  </si>
  <si>
    <t>Elkton</t>
  </si>
  <si>
    <t>Lynnville</t>
  </si>
  <si>
    <t>Minor Hill</t>
  </si>
  <si>
    <t>Pulaski</t>
  </si>
  <si>
    <t>Grainger County</t>
  </si>
  <si>
    <t>Bean Station</t>
  </si>
  <si>
    <t>Blaine</t>
  </si>
  <si>
    <t>Rutledge</t>
  </si>
  <si>
    <t>Greene County</t>
  </si>
  <si>
    <t>Baileyton</t>
  </si>
  <si>
    <t>Greeneville</t>
  </si>
  <si>
    <t>Mosheim</t>
  </si>
  <si>
    <t>Tusculum</t>
  </si>
  <si>
    <t>Grundy County</t>
  </si>
  <si>
    <t>Altamont</t>
  </si>
  <si>
    <t>Beersheba Springs</t>
  </si>
  <si>
    <t>Coalmont</t>
  </si>
  <si>
    <t>Gruetli-Laager</t>
  </si>
  <si>
    <t>Monteagle</t>
  </si>
  <si>
    <t>Palmer</t>
  </si>
  <si>
    <t>Tracy City</t>
  </si>
  <si>
    <t>Hamblen County</t>
  </si>
  <si>
    <t>Morristown</t>
  </si>
  <si>
    <t>Hamilton County</t>
  </si>
  <si>
    <t>Chattanooga</t>
  </si>
  <si>
    <t>Collegedale</t>
  </si>
  <si>
    <t>East Ridge</t>
  </si>
  <si>
    <t>Lakesite</t>
  </si>
  <si>
    <t>Lookout Mountain</t>
  </si>
  <si>
    <t>Red Bank</t>
  </si>
  <si>
    <t>Ridgeside</t>
  </si>
  <si>
    <t>Signal Mountain</t>
  </si>
  <si>
    <t>Soddy-Daisy</t>
  </si>
  <si>
    <t>Walden</t>
  </si>
  <si>
    <t>Hancock County</t>
  </si>
  <si>
    <t>Sneedville</t>
  </si>
  <si>
    <t>Hardeman County</t>
  </si>
  <si>
    <t>Bolivar</t>
  </si>
  <si>
    <t>Hickory Valley</t>
  </si>
  <si>
    <t>Hornsby</t>
  </si>
  <si>
    <t>Middleton</t>
  </si>
  <si>
    <t>Saulsbury</t>
  </si>
  <si>
    <t>Toone</t>
  </si>
  <si>
    <t>Whiteville</t>
  </si>
  <si>
    <t>Hardin County</t>
  </si>
  <si>
    <t>Adamsville</t>
  </si>
  <si>
    <t>Crump</t>
  </si>
  <si>
    <t>Saltillo</t>
  </si>
  <si>
    <t>Savannah</t>
  </si>
  <si>
    <t>Hawkins County</t>
  </si>
  <si>
    <t>Bulls Gap</t>
  </si>
  <si>
    <t>Church Hill</t>
  </si>
  <si>
    <t>Kingsport</t>
  </si>
  <si>
    <t>Mount Carmel</t>
  </si>
  <si>
    <t>Rogersville</t>
  </si>
  <si>
    <t>Surgoinsville</t>
  </si>
  <si>
    <t>Haywood County</t>
  </si>
  <si>
    <t>Brownsville</t>
  </si>
  <si>
    <t>Stanton</t>
  </si>
  <si>
    <t>Henderson County</t>
  </si>
  <si>
    <t>Lexington</t>
  </si>
  <si>
    <t>Parkers Crossroads</t>
  </si>
  <si>
    <t>Sardis</t>
  </si>
  <si>
    <t>Henry County</t>
  </si>
  <si>
    <t>Cottage Grove</t>
  </si>
  <si>
    <t>Paris</t>
  </si>
  <si>
    <t>Puryear</t>
  </si>
  <si>
    <t>Hickman County</t>
  </si>
  <si>
    <t>Centerville</t>
  </si>
  <si>
    <t>Houston County</t>
  </si>
  <si>
    <t>Erin</t>
  </si>
  <si>
    <t>Tennessee Ridge</t>
  </si>
  <si>
    <t>Humphreys County</t>
  </si>
  <si>
    <t>McEwen</t>
  </si>
  <si>
    <t>New Johnsonville</t>
  </si>
  <si>
    <t>Waverly</t>
  </si>
  <si>
    <t>Jackson County</t>
  </si>
  <si>
    <t>Gainesboro</t>
  </si>
  <si>
    <t>Jefferson County</t>
  </si>
  <si>
    <t>Baneberry</t>
  </si>
  <si>
    <t>Dandridge</t>
  </si>
  <si>
    <t>Jefferson City</t>
  </si>
  <si>
    <t>New Market</t>
  </si>
  <si>
    <t>White Pine</t>
  </si>
  <si>
    <t>Johnson County</t>
  </si>
  <si>
    <t>Mountain City</t>
  </si>
  <si>
    <t>Knox County</t>
  </si>
  <si>
    <t>Farragut</t>
  </si>
  <si>
    <t>Knoxville</t>
  </si>
  <si>
    <t>Lake County</t>
  </si>
  <si>
    <t>Ridgely</t>
  </si>
  <si>
    <t>Tiptonville</t>
  </si>
  <si>
    <t>Lauderdale County</t>
  </si>
  <si>
    <t>Gates</t>
  </si>
  <si>
    <t>Halls</t>
  </si>
  <si>
    <t>Henning</t>
  </si>
  <si>
    <t>Ripley</t>
  </si>
  <si>
    <t>Lawrence County</t>
  </si>
  <si>
    <t>Ethridge</t>
  </si>
  <si>
    <t>Iron City</t>
  </si>
  <si>
    <t>Lawrenceburg</t>
  </si>
  <si>
    <t>Loretto</t>
  </si>
  <si>
    <t>St. Joseph</t>
  </si>
  <si>
    <t>Lewis County</t>
  </si>
  <si>
    <t>Hohenwald</t>
  </si>
  <si>
    <t>Lincoln County</t>
  </si>
  <si>
    <t>Fayetteville</t>
  </si>
  <si>
    <t>Petersburg</t>
  </si>
  <si>
    <t>Loudon County</t>
  </si>
  <si>
    <t>Greenback</t>
  </si>
  <si>
    <t>Lenoir City</t>
  </si>
  <si>
    <t>Philadelphia</t>
  </si>
  <si>
    <t>Macon County</t>
  </si>
  <si>
    <t>Lafayette</t>
  </si>
  <si>
    <t>Red Boiling Springs</t>
  </si>
  <si>
    <t>Madison County</t>
  </si>
  <si>
    <t>Medon</t>
  </si>
  <si>
    <t>Three Way</t>
  </si>
  <si>
    <t>Marion County</t>
  </si>
  <si>
    <t>Jasper</t>
  </si>
  <si>
    <t>Kimball</t>
  </si>
  <si>
    <t>New Hope</t>
  </si>
  <si>
    <t>Orme</t>
  </si>
  <si>
    <t>Powells Crossroads</t>
  </si>
  <si>
    <t>South Pittsburg</t>
  </si>
  <si>
    <t>Whitwell</t>
  </si>
  <si>
    <t>Marshall County</t>
  </si>
  <si>
    <t>Chapel Hill</t>
  </si>
  <si>
    <t>Cornersville</t>
  </si>
  <si>
    <t>Lewisburg</t>
  </si>
  <si>
    <t>Maury County</t>
  </si>
  <si>
    <t>Columbia</t>
  </si>
  <si>
    <t>Mount Pleasant</t>
  </si>
  <si>
    <t>Spring Hill</t>
  </si>
  <si>
    <t>McMinn County</t>
  </si>
  <si>
    <t>Athens</t>
  </si>
  <si>
    <t>Calhoun</t>
  </si>
  <si>
    <t>Englewood</t>
  </si>
  <si>
    <t>Etowah</t>
  </si>
  <si>
    <t>Niota</t>
  </si>
  <si>
    <t>McNairy County</t>
  </si>
  <si>
    <t>Bethel Springs</t>
  </si>
  <si>
    <t>Eastview</t>
  </si>
  <si>
    <t>Finger</t>
  </si>
  <si>
    <t>Guys</t>
  </si>
  <si>
    <t>Michie</t>
  </si>
  <si>
    <t>Ramer</t>
  </si>
  <si>
    <t>Selmer</t>
  </si>
  <si>
    <t>Stantonville</t>
  </si>
  <si>
    <t>Meigs County</t>
  </si>
  <si>
    <t>Monroe County</t>
  </si>
  <si>
    <t>Madisonville</t>
  </si>
  <si>
    <t>Sweetwater</t>
  </si>
  <si>
    <t>Tellico Plains</t>
  </si>
  <si>
    <t>Vonore</t>
  </si>
  <si>
    <t>Montgomery County</t>
  </si>
  <si>
    <t>Clarksville</t>
  </si>
  <si>
    <t>Moore County</t>
  </si>
  <si>
    <t>Morgan County</t>
  </si>
  <si>
    <t>Oakdale</t>
  </si>
  <si>
    <t>Sunbright</t>
  </si>
  <si>
    <t>Wartburg</t>
  </si>
  <si>
    <t>Obion County</t>
  </si>
  <si>
    <t>Hornbeak</t>
  </si>
  <si>
    <t>Rives</t>
  </si>
  <si>
    <t>Samburg</t>
  </si>
  <si>
    <t>South Fulton</t>
  </si>
  <si>
    <t>Troy</t>
  </si>
  <si>
    <t>Union City</t>
  </si>
  <si>
    <t>Woodland Mills</t>
  </si>
  <si>
    <t>Overton County</t>
  </si>
  <si>
    <t>Livingston</t>
  </si>
  <si>
    <t>Perry County</t>
  </si>
  <si>
    <t>Linden</t>
  </si>
  <si>
    <t>Lobelville</t>
  </si>
  <si>
    <t>Pickett County</t>
  </si>
  <si>
    <t>Byrdstown</t>
  </si>
  <si>
    <t>Polk County</t>
  </si>
  <si>
    <t>Copperhill</t>
  </si>
  <si>
    <t>Ducktown</t>
  </si>
  <si>
    <t>Putnam County</t>
  </si>
  <si>
    <t>Algood</t>
  </si>
  <si>
    <t>Baxter</t>
  </si>
  <si>
    <t>Cookeville</t>
  </si>
  <si>
    <t>Monterey</t>
  </si>
  <si>
    <t>Rhea County</t>
  </si>
  <si>
    <t>Dayton</t>
  </si>
  <si>
    <t>Graysville</t>
  </si>
  <si>
    <t>Spring City</t>
  </si>
  <si>
    <t>Roane County</t>
  </si>
  <si>
    <t>Harriman</t>
  </si>
  <si>
    <t>Kingston</t>
  </si>
  <si>
    <t>Midtown</t>
  </si>
  <si>
    <t>Rockwood</t>
  </si>
  <si>
    <t>Robertson County</t>
  </si>
  <si>
    <t>Adams</t>
  </si>
  <si>
    <t>Cedar Hill</t>
  </si>
  <si>
    <t>Coopertown</t>
  </si>
  <si>
    <t>Cross Plains</t>
  </si>
  <si>
    <t>Greenbrier</t>
  </si>
  <si>
    <t>Millersville</t>
  </si>
  <si>
    <t>Orlinda</t>
  </si>
  <si>
    <t>Portland</t>
  </si>
  <si>
    <t>Springfield</t>
  </si>
  <si>
    <t>White House</t>
  </si>
  <si>
    <t>Rutherford County</t>
  </si>
  <si>
    <t>Eagleville</t>
  </si>
  <si>
    <t>La Vergne</t>
  </si>
  <si>
    <t>Murfreesboro</t>
  </si>
  <si>
    <t>Smyrna</t>
  </si>
  <si>
    <t>Scott County</t>
  </si>
  <si>
    <t>Huntsville</t>
  </si>
  <si>
    <t>Oneida</t>
  </si>
  <si>
    <t>Winfield</t>
  </si>
  <si>
    <t>Sequatchie County</t>
  </si>
  <si>
    <t>Dunlap</t>
  </si>
  <si>
    <t>Sevier County</t>
  </si>
  <si>
    <t>Gatlinburg</t>
  </si>
  <si>
    <t>Pigeon Forge</t>
  </si>
  <si>
    <t>Pittman Center</t>
  </si>
  <si>
    <t>Sevierville</t>
  </si>
  <si>
    <t>Shelby County</t>
  </si>
  <si>
    <t>Arlington</t>
  </si>
  <si>
    <t>Bartlett</t>
  </si>
  <si>
    <t>Collierville</t>
  </si>
  <si>
    <t>Germantown</t>
  </si>
  <si>
    <t>Lakeland</t>
  </si>
  <si>
    <t>Memphis</t>
  </si>
  <si>
    <t>Shelby-Millington</t>
  </si>
  <si>
    <t>Millington</t>
  </si>
  <si>
    <t>Smith County</t>
  </si>
  <si>
    <t>Carthage</t>
  </si>
  <si>
    <t>Gordonsville</t>
  </si>
  <si>
    <t>South Carthage</t>
  </si>
  <si>
    <t>Stewart County</t>
  </si>
  <si>
    <t>Cumberland City</t>
  </si>
  <si>
    <t>Dover</t>
  </si>
  <si>
    <t>Sullivan County</t>
  </si>
  <si>
    <t>Bluff City</t>
  </si>
  <si>
    <t>Bristol</t>
  </si>
  <si>
    <t>Sumner County</t>
  </si>
  <si>
    <t>Gallatin</t>
  </si>
  <si>
    <t>Hendersonville</t>
  </si>
  <si>
    <t>Mitchellville</t>
  </si>
  <si>
    <t>Walnut Grove</t>
  </si>
  <si>
    <t>Westmoreland</t>
  </si>
  <si>
    <t>Tipton County</t>
  </si>
  <si>
    <t>Atoka</t>
  </si>
  <si>
    <t>Brighton</t>
  </si>
  <si>
    <t>Burlison</t>
  </si>
  <si>
    <t>Covington</t>
  </si>
  <si>
    <t>Garland</t>
  </si>
  <si>
    <t>Gilt Edge</t>
  </si>
  <si>
    <t>Mason</t>
  </si>
  <si>
    <t>Munford</t>
  </si>
  <si>
    <t>Trousdale County</t>
  </si>
  <si>
    <t>Unicoi County</t>
  </si>
  <si>
    <t>Erwin</t>
  </si>
  <si>
    <t>Union County</t>
  </si>
  <si>
    <t>Luttrell</t>
  </si>
  <si>
    <t>Maynardville</t>
  </si>
  <si>
    <t>Plainview</t>
  </si>
  <si>
    <t>Van Buren County</t>
  </si>
  <si>
    <t>Spencer</t>
  </si>
  <si>
    <t>Warren County</t>
  </si>
  <si>
    <t>Centertown</t>
  </si>
  <si>
    <t>McMinnville</t>
  </si>
  <si>
    <t>Morrison</t>
  </si>
  <si>
    <t>Viola</t>
  </si>
  <si>
    <t>Washington County</t>
  </si>
  <si>
    <t>Jonesborough</t>
  </si>
  <si>
    <t>Wayne County</t>
  </si>
  <si>
    <t>Clifton</t>
  </si>
  <si>
    <t>Collinwood</t>
  </si>
  <si>
    <t>Waynesboro</t>
  </si>
  <si>
    <t>Weakley County</t>
  </si>
  <si>
    <t>Dresden</t>
  </si>
  <si>
    <t>Gleason</t>
  </si>
  <si>
    <t>Greenfield</t>
  </si>
  <si>
    <t>Martin</t>
  </si>
  <si>
    <t>Sharon</t>
  </si>
  <si>
    <t>White County</t>
  </si>
  <si>
    <t>Doyle</t>
  </si>
  <si>
    <t>Sparta</t>
  </si>
  <si>
    <t>Williamson County</t>
  </si>
  <si>
    <t>Brentwood</t>
  </si>
  <si>
    <t>Fairview</t>
  </si>
  <si>
    <t>Nolensville</t>
  </si>
  <si>
    <t>Wilson County</t>
  </si>
  <si>
    <t>Lebanon</t>
  </si>
  <si>
    <t>Mount Juliet</t>
  </si>
  <si>
    <t>Watertown</t>
  </si>
  <si>
    <t>County &amp; City</t>
  </si>
  <si>
    <t>Applicant Community</t>
  </si>
  <si>
    <t xml:space="preserve">Maximum % of CDBG Grant Funds for Administration </t>
  </si>
  <si>
    <t>CDBG Grant Funds</t>
  </si>
  <si>
    <t>CDBG % of Total Project Amount</t>
  </si>
  <si>
    <t>CDBG</t>
  </si>
  <si>
    <t>CDBG Funds</t>
  </si>
  <si>
    <t>% CDBG</t>
  </si>
  <si>
    <t>Maximum Non-Administration Amount</t>
  </si>
  <si>
    <t>Grantee Match</t>
  </si>
  <si>
    <t>Minimum Grantee Match on Maximum Grant Amount</t>
  </si>
  <si>
    <t>Minimum Grantee Match Funds</t>
  </si>
  <si>
    <t>Grantee Ability to Pay / Grant and Match Rates</t>
  </si>
  <si>
    <t>Maximum CDBG Grant Funds Amount</t>
  </si>
  <si>
    <t>Minimum Grantee Match Rate (for each line item)</t>
  </si>
  <si>
    <t>Water Treatment Plants &amp; Intakes</t>
  </si>
  <si>
    <t>Sewage Treatment Plants</t>
  </si>
  <si>
    <t>Sewage Collection Systems</t>
  </si>
  <si>
    <t>Extensive Rehabilitation of Existing Facilities</t>
  </si>
  <si>
    <t>Water Distribution Systems</t>
  </si>
  <si>
    <t>Package Lift Systems</t>
  </si>
  <si>
    <t>Package Treatment Plants (water &amp; sewer)</t>
  </si>
  <si>
    <t>Water Storage Tanks (elevated, ground &amp; underground)</t>
  </si>
  <si>
    <t>Category 1 Type Construction Costs</t>
  </si>
  <si>
    <t>Category 2 Type Construction Costs</t>
  </si>
  <si>
    <t>Subtotal Type 1 Costs</t>
  </si>
  <si>
    <t>Subtotal Type 2 Costs</t>
  </si>
  <si>
    <t>Construction Costs</t>
  </si>
  <si>
    <t>Difference</t>
  </si>
  <si>
    <t>Design %</t>
  </si>
  <si>
    <t>Design Cost</t>
  </si>
  <si>
    <t>Type 1</t>
  </si>
  <si>
    <t>Type 2</t>
  </si>
  <si>
    <t>Engineering Design Guideline Amount</t>
  </si>
  <si>
    <t>Engineering Design Amount Budgeted</t>
  </si>
  <si>
    <t>Amount Budgeted Over / (Under) Guideline</t>
  </si>
  <si>
    <t>Projected Months of Construction</t>
  </si>
  <si>
    <t>Construction Inspection Needed</t>
  </si>
  <si>
    <t>Guideline Amount per Month</t>
  </si>
  <si>
    <t>Construction Inspection Amount Budgeted</t>
  </si>
  <si>
    <t>Total Construction Inspection Guideline Amount</t>
  </si>
  <si>
    <t>Projected Construction Costs</t>
  </si>
  <si>
    <t>Total Construction Costs Stratified Up to and Including…</t>
  </si>
  <si>
    <t>TOTAL PROJECTED CONSTRUCTION COSTS</t>
  </si>
  <si>
    <t>Construction Inspection Cost Guideline</t>
  </si>
  <si>
    <t>Engineering Design Cost Guideline</t>
  </si>
  <si>
    <t>Total Engineering Design Cost Guideline &gt;&gt;</t>
  </si>
  <si>
    <t>Percentage of Construction Cost</t>
  </si>
  <si>
    <r>
      <t xml:space="preserve">LINE-ITEM DETAIL FOR:  </t>
    </r>
    <r>
      <rPr>
        <b/>
        <sz val="8"/>
        <color rgb="FFFF0000"/>
        <rFont val="Arial"/>
        <family val="2"/>
      </rPr>
      <t>ENGINEERING (other than design)</t>
    </r>
  </si>
  <si>
    <t>CDBG AMOUNT</t>
  </si>
  <si>
    <t>TOTAL AMOUNT</t>
  </si>
  <si>
    <t>CDBG Grant Administration Criteria:</t>
  </si>
  <si>
    <t>Van_Buren</t>
  </si>
  <si>
    <r>
      <t xml:space="preserve">LINE-ITEM DETAIL FOR:  </t>
    </r>
    <r>
      <rPr>
        <b/>
        <sz val="8"/>
        <color indexed="10"/>
        <rFont val="Arial"/>
        <family val="2"/>
      </rPr>
      <t>CAPITAL PURCHASE</t>
    </r>
  </si>
  <si>
    <r>
      <t xml:space="preserve">Engineering (other than design) </t>
    </r>
    <r>
      <rPr>
        <sz val="12"/>
        <color rgb="FFFF0000"/>
        <rFont val="Arial"/>
        <family val="2"/>
      </rPr>
      <t>(Detail attached)</t>
    </r>
  </si>
  <si>
    <r>
      <t xml:space="preserve">Capital Purchase </t>
    </r>
    <r>
      <rPr>
        <sz val="12"/>
        <color rgb="FFFF0000"/>
        <rFont val="Arial"/>
        <family val="2"/>
      </rPr>
      <t>(Detail attached)</t>
    </r>
  </si>
  <si>
    <t>MIN MATCH</t>
  </si>
  <si>
    <t>ADDED MATCH</t>
  </si>
  <si>
    <t>TOTAL MATCH</t>
  </si>
  <si>
    <t>County:</t>
  </si>
  <si>
    <t>Other Simple Project</t>
  </si>
  <si>
    <t>Other Complex Project</t>
  </si>
  <si>
    <t>Minimum</t>
  </si>
  <si>
    <t>Additional</t>
  </si>
  <si>
    <t>Line Item Total</t>
  </si>
  <si>
    <t>Additional Funds</t>
  </si>
  <si>
    <t>Maximum allowable grant administration with CDBG funds</t>
  </si>
  <si>
    <t>Required</t>
  </si>
  <si>
    <t>Total Match Needed</t>
  </si>
  <si>
    <t>Minimum Match Required</t>
  </si>
  <si>
    <t>Anticipated Level of Environmental Review</t>
  </si>
  <si>
    <t>COMMUNITY DEVELOPMENT BLOCK GRANT</t>
  </si>
  <si>
    <t>Password:</t>
  </si>
  <si>
    <t>CDBGBudget</t>
  </si>
  <si>
    <r>
      <t>Other Professional Fees</t>
    </r>
    <r>
      <rPr>
        <sz val="12"/>
        <color rgb="FFFF0000"/>
        <rFont val="Arial"/>
        <family val="2"/>
      </rPr>
      <t xml:space="preserve"> (Detail attached)</t>
    </r>
  </si>
  <si>
    <r>
      <t xml:space="preserve">LINE-ITEM DETAIL FOR:  </t>
    </r>
    <r>
      <rPr>
        <b/>
        <sz val="8"/>
        <color rgb="FFFF0000"/>
        <rFont val="Arial"/>
        <family val="2"/>
      </rPr>
      <t>OTHER PROFESSIONAL FEES</t>
    </r>
  </si>
  <si>
    <t>Other Professional Fees (Detail attached)</t>
  </si>
  <si>
    <t>Total Line-item Calculator Tools:</t>
  </si>
  <si>
    <t>Option 1</t>
  </si>
  <si>
    <t>Option 2</t>
  </si>
  <si>
    <t>N/A</t>
  </si>
  <si>
    <t>FY 2019 COUNTY TAX TIERS &amp; THREESTAR</t>
  </si>
  <si>
    <t>Total Engineering Costs</t>
  </si>
  <si>
    <t>Engineering Design Over / (Under)</t>
  </si>
  <si>
    <t>Construction Inspection Guideline Amount</t>
  </si>
  <si>
    <t>Construction Inspection Over / (Under)</t>
  </si>
  <si>
    <t>Total Engineering Guideline Amount</t>
  </si>
  <si>
    <t>Total Engineering Amount Budgeted</t>
  </si>
  <si>
    <t>Total Engineering Over / (Under)</t>
  </si>
  <si>
    <t>Maximum Administration Amount (6.5% of maximum grant)</t>
  </si>
  <si>
    <t>ThreeStar Bonus Rate (reduction)</t>
  </si>
  <si>
    <t>Grantee/Applicant ATP Rate with ThreeStar reduction</t>
  </si>
  <si>
    <t>Full-Time</t>
  </si>
  <si>
    <t>FY 2021 ThreeStar</t>
  </si>
  <si>
    <t>2022 BUDGET TEMPLATE FOR COMMUNITY DEVELOPMENT BLOCK GRANT (CDBG) APPLICATION</t>
  </si>
  <si>
    <t>2022 ATP</t>
  </si>
  <si>
    <t>Rev1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</si>
</sst>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u/>
      <sz val="10"/>
      <color rgb="FFFF000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sz val="8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7" fillId="0" borderId="0"/>
    <xf numFmtId="0" fontId="7" fillId="0" borderId="0"/>
    <xf numFmtId="0" fontId="27" fillId="0" borderId="0"/>
    <xf numFmtId="9" fontId="2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" fillId="0" borderId="0"/>
    <xf numFmtId="44" fontId="3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5" fillId="0" borderId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5" fillId="0" borderId="0" applyFont="0" applyFill="0" applyBorder="0" applyAlignment="0" applyProtection="0"/>
    <xf numFmtId="0" fontId="35" fillId="0" borderId="0"/>
    <xf numFmtId="0" fontId="1" fillId="0" borderId="0"/>
    <xf numFmtId="9" fontId="1" fillId="0" borderId="0" applyFont="0" applyFill="0" applyBorder="0" applyAlignment="0" applyProtection="0"/>
    <xf numFmtId="0" fontId="27" fillId="0" borderId="0"/>
  </cellStyleXfs>
  <cellXfs count="281">
    <xf numFmtId="0" fontId="0" fillId="0" borderId="0" xfId="0"/>
    <xf numFmtId="0" fontId="5" fillId="0" borderId="0" xfId="1" applyAlignment="1">
      <alignment vertical="center"/>
    </xf>
    <xf numFmtId="0" fontId="16" fillId="0" borderId="4" xfId="1" applyFont="1" applyBorder="1" applyAlignment="1">
      <alignment horizontal="center" vertical="top" wrapText="1"/>
    </xf>
    <xf numFmtId="0" fontId="17" fillId="0" borderId="0" xfId="1" applyFont="1" applyAlignment="1">
      <alignment vertical="center"/>
    </xf>
    <xf numFmtId="0" fontId="17" fillId="0" borderId="14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23" fillId="0" borderId="0" xfId="0" applyFont="1"/>
    <xf numFmtId="0" fontId="16" fillId="0" borderId="9" xfId="1" applyFont="1" applyBorder="1" applyAlignment="1">
      <alignment horizontal="center" vertical="top" wrapText="1"/>
    </xf>
    <xf numFmtId="0" fontId="22" fillId="0" borderId="0" xfId="4" applyFont="1" applyAlignment="1">
      <alignment vertical="center"/>
    </xf>
    <xf numFmtId="0" fontId="7" fillId="0" borderId="0" xfId="4" applyFont="1"/>
    <xf numFmtId="0" fontId="7" fillId="0" borderId="0" xfId="4" applyFont="1" applyAlignment="1">
      <alignment horizontal="center"/>
    </xf>
    <xf numFmtId="0" fontId="7" fillId="0" borderId="4" xfId="4" applyFont="1" applyBorder="1"/>
    <xf numFmtId="0" fontId="7" fillId="0" borderId="4" xfId="4" applyFont="1" applyBorder="1" applyAlignment="1">
      <alignment horizontal="center"/>
    </xf>
    <xf numFmtId="0" fontId="24" fillId="0" borderId="4" xfId="4" applyFont="1" applyBorder="1" applyAlignment="1">
      <alignment horizontal="center"/>
    </xf>
    <xf numFmtId="0" fontId="7" fillId="0" borderId="5" xfId="4" applyFont="1" applyBorder="1"/>
    <xf numFmtId="0" fontId="7" fillId="0" borderId="5" xfId="4" applyFont="1" applyBorder="1" applyAlignment="1">
      <alignment horizontal="center"/>
    </xf>
    <xf numFmtId="0" fontId="19" fillId="0" borderId="13" xfId="4" applyFont="1" applyBorder="1" applyAlignment="1">
      <alignment horizontal="left" vertical="center" wrapText="1"/>
    </xf>
    <xf numFmtId="0" fontId="19" fillId="0" borderId="13" xfId="4" applyFont="1" applyFill="1" applyBorder="1" applyAlignment="1">
      <alignment horizontal="center" vertical="center" wrapText="1"/>
    </xf>
    <xf numFmtId="164" fontId="18" fillId="0" borderId="9" xfId="1" applyNumberFormat="1" applyFont="1" applyBorder="1" applyAlignment="1" applyProtection="1">
      <alignment vertical="center"/>
    </xf>
    <xf numFmtId="164" fontId="18" fillId="0" borderId="4" xfId="1" applyNumberFormat="1" applyFont="1" applyBorder="1" applyAlignment="1" applyProtection="1">
      <alignment vertical="center"/>
    </xf>
    <xf numFmtId="164" fontId="18" fillId="0" borderId="13" xfId="1" applyNumberFormat="1" applyFont="1" applyBorder="1" applyAlignment="1" applyProtection="1">
      <alignment vertical="center"/>
    </xf>
    <xf numFmtId="164" fontId="16" fillId="0" borderId="15" xfId="1" applyNumberFormat="1" applyFont="1" applyBorder="1" applyAlignment="1" applyProtection="1">
      <alignment vertical="center"/>
    </xf>
    <xf numFmtId="164" fontId="16" fillId="0" borderId="18" xfId="1" applyNumberFormat="1" applyFont="1" applyBorder="1" applyAlignment="1" applyProtection="1">
      <alignment vertical="center"/>
    </xf>
    <xf numFmtId="0" fontId="7" fillId="0" borderId="18" xfId="4" applyFont="1" applyBorder="1" applyAlignment="1">
      <alignment horizontal="center"/>
    </xf>
    <xf numFmtId="0" fontId="19" fillId="0" borderId="0" xfId="4" applyFont="1" applyAlignment="1">
      <alignment vertical="center"/>
    </xf>
    <xf numFmtId="0" fontId="7" fillId="0" borderId="4" xfId="15" applyFont="1" applyBorder="1"/>
    <xf numFmtId="0" fontId="7" fillId="0" borderId="4" xfId="15" applyFont="1" applyBorder="1" applyAlignment="1">
      <alignment horizontal="left"/>
    </xf>
    <xf numFmtId="0" fontId="7" fillId="0" borderId="4" xfId="15" applyFont="1" applyBorder="1" applyAlignment="1">
      <alignment horizontal="center" wrapText="1"/>
    </xf>
    <xf numFmtId="0" fontId="7" fillId="0" borderId="0" xfId="15" applyFont="1"/>
    <xf numFmtId="0" fontId="29" fillId="0" borderId="0" xfId="15" applyFont="1"/>
    <xf numFmtId="9" fontId="28" fillId="0" borderId="4" xfId="13" applyNumberFormat="1" applyFont="1" applyFill="1" applyBorder="1" applyAlignment="1">
      <alignment horizontal="center" vertical="center" wrapText="1"/>
    </xf>
    <xf numFmtId="0" fontId="7" fillId="0" borderId="4" xfId="15" applyFont="1" applyBorder="1" applyAlignment="1">
      <alignment horizontal="center"/>
    </xf>
    <xf numFmtId="0" fontId="7" fillId="0" borderId="4" xfId="15" applyFont="1" applyFill="1" applyBorder="1" applyAlignment="1">
      <alignment horizontal="left"/>
    </xf>
    <xf numFmtId="0" fontId="7" fillId="0" borderId="4" xfId="15" applyFont="1" applyFill="1" applyBorder="1"/>
    <xf numFmtId="0" fontId="7" fillId="4" borderId="4" xfId="15" applyFont="1" applyFill="1" applyBorder="1"/>
    <xf numFmtId="0" fontId="7" fillId="4" borderId="4" xfId="15" applyFont="1" applyFill="1" applyBorder="1" applyAlignment="1">
      <alignment horizontal="left"/>
    </xf>
    <xf numFmtId="49" fontId="7" fillId="4" borderId="4" xfId="15" applyNumberFormat="1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7" fontId="7" fillId="0" borderId="0" xfId="0" applyNumberFormat="1" applyFont="1"/>
    <xf numFmtId="39" fontId="7" fillId="0" borderId="0" xfId="0" applyNumberFormat="1" applyFont="1"/>
    <xf numFmtId="165" fontId="7" fillId="0" borderId="0" xfId="18" applyNumberFormat="1" applyFont="1" applyAlignment="1"/>
    <xf numFmtId="0" fontId="7" fillId="0" borderId="4" xfId="0" applyFont="1" applyBorder="1"/>
    <xf numFmtId="0" fontId="7" fillId="0" borderId="23" xfId="0" applyFont="1" applyBorder="1"/>
    <xf numFmtId="0" fontId="7" fillId="0" borderId="25" xfId="0" applyFont="1" applyBorder="1"/>
    <xf numFmtId="7" fontId="7" fillId="0" borderId="25" xfId="0" applyNumberFormat="1" applyFont="1" applyBorder="1"/>
    <xf numFmtId="0" fontId="7" fillId="0" borderId="26" xfId="0" applyFont="1" applyBorder="1"/>
    <xf numFmtId="7" fontId="7" fillId="0" borderId="27" xfId="0" applyNumberFormat="1" applyFont="1" applyBorder="1"/>
    <xf numFmtId="0" fontId="7" fillId="0" borderId="11" xfId="0" applyFont="1" applyBorder="1"/>
    <xf numFmtId="39" fontId="7" fillId="0" borderId="28" xfId="0" applyNumberFormat="1" applyFont="1" applyBorder="1"/>
    <xf numFmtId="7" fontId="7" fillId="0" borderId="29" xfId="0" applyNumberFormat="1" applyFont="1" applyBorder="1"/>
    <xf numFmtId="0" fontId="7" fillId="0" borderId="29" xfId="0" applyFont="1" applyBorder="1"/>
    <xf numFmtId="0" fontId="7" fillId="0" borderId="30" xfId="0" applyFont="1" applyBorder="1"/>
    <xf numFmtId="7" fontId="7" fillId="0" borderId="31" xfId="0" applyNumberFormat="1" applyFont="1" applyBorder="1"/>
    <xf numFmtId="0" fontId="7" fillId="0" borderId="32" xfId="0" applyFont="1" applyBorder="1"/>
    <xf numFmtId="39" fontId="7" fillId="0" borderId="25" xfId="0" applyNumberFormat="1" applyFont="1" applyBorder="1"/>
    <xf numFmtId="39" fontId="7" fillId="0" borderId="27" xfId="0" applyNumberFormat="1" applyFont="1" applyBorder="1"/>
    <xf numFmtId="0" fontId="7" fillId="0" borderId="37" xfId="0" applyFont="1" applyBorder="1"/>
    <xf numFmtId="7" fontId="7" fillId="0" borderId="33" xfId="0" applyNumberFormat="1" applyFont="1" applyBorder="1"/>
    <xf numFmtId="0" fontId="7" fillId="0" borderId="38" xfId="0" applyFont="1" applyBorder="1"/>
    <xf numFmtId="0" fontId="7" fillId="0" borderId="17" xfId="0" applyFont="1" applyBorder="1"/>
    <xf numFmtId="0" fontId="7" fillId="0" borderId="39" xfId="0" applyFont="1" applyBorder="1"/>
    <xf numFmtId="7" fontId="7" fillId="0" borderId="4" xfId="0" applyNumberFormat="1" applyFont="1" applyBorder="1"/>
    <xf numFmtId="0" fontId="7" fillId="0" borderId="1" xfId="0" applyFont="1" applyBorder="1"/>
    <xf numFmtId="7" fontId="7" fillId="0" borderId="5" xfId="0" applyNumberFormat="1" applyFont="1" applyBorder="1"/>
    <xf numFmtId="165" fontId="7" fillId="0" borderId="4" xfId="18" applyNumberFormat="1" applyFont="1" applyBorder="1" applyAlignment="1"/>
    <xf numFmtId="39" fontId="7" fillId="0" borderId="4" xfId="0" applyNumberFormat="1" applyFont="1" applyBorder="1"/>
    <xf numFmtId="43" fontId="7" fillId="0" borderId="4" xfId="0" applyNumberFormat="1" applyFont="1" applyBorder="1"/>
    <xf numFmtId="0" fontId="7" fillId="0" borderId="6" xfId="0" applyFont="1" applyBorder="1"/>
    <xf numFmtId="0" fontId="7" fillId="0" borderId="8" xfId="0" applyFont="1" applyBorder="1"/>
    <xf numFmtId="0" fontId="7" fillId="6" borderId="4" xfId="0" applyFont="1" applyFill="1" applyBorder="1"/>
    <xf numFmtId="0" fontId="7" fillId="6" borderId="4" xfId="0" applyFont="1" applyFill="1" applyBorder="1" applyAlignment="1">
      <alignment horizontal="center"/>
    </xf>
    <xf numFmtId="7" fontId="7" fillId="0" borderId="4" xfId="18" applyNumberFormat="1" applyFont="1" applyFill="1" applyBorder="1"/>
    <xf numFmtId="164" fontId="17" fillId="0" borderId="5" xfId="1" applyNumberFormat="1" applyFont="1" applyFill="1" applyBorder="1" applyAlignment="1" applyProtection="1">
      <alignment horizontal="right" vertical="center"/>
    </xf>
    <xf numFmtId="164" fontId="16" fillId="0" borderId="19" xfId="1" applyNumberFormat="1" applyFont="1" applyFill="1" applyBorder="1" applyAlignment="1" applyProtection="1">
      <alignment horizontal="right" vertical="center"/>
    </xf>
    <xf numFmtId="0" fontId="7" fillId="3" borderId="33" xfId="0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7" fontId="6" fillId="0" borderId="4" xfId="0" applyNumberFormat="1" applyFont="1" applyFill="1" applyBorder="1" applyProtection="1"/>
    <xf numFmtId="0" fontId="7" fillId="0" borderId="33" xfId="0" applyFont="1" applyBorder="1"/>
    <xf numFmtId="0" fontId="19" fillId="0" borderId="23" xfId="0" applyFont="1" applyBorder="1" applyAlignment="1">
      <alignment horizontal="center"/>
    </xf>
    <xf numFmtId="7" fontId="7" fillId="3" borderId="25" xfId="0" applyNumberFormat="1" applyFont="1" applyFill="1" applyBorder="1" applyProtection="1">
      <protection locked="0"/>
    </xf>
    <xf numFmtId="0" fontId="7" fillId="0" borderId="23" xfId="0" applyFont="1" applyBorder="1" applyAlignment="1">
      <alignment horizontal="center"/>
    </xf>
    <xf numFmtId="0" fontId="7" fillId="0" borderId="22" xfId="0" applyFont="1" applyBorder="1"/>
    <xf numFmtId="7" fontId="7" fillId="0" borderId="40" xfId="0" applyNumberFormat="1" applyFont="1" applyBorder="1"/>
    <xf numFmtId="0" fontId="19" fillId="0" borderId="24" xfId="0" applyFont="1" applyBorder="1"/>
    <xf numFmtId="7" fontId="7" fillId="0" borderId="41" xfId="0" applyNumberFormat="1" applyFont="1" applyBorder="1"/>
    <xf numFmtId="0" fontId="22" fillId="0" borderId="0" xfId="0" applyFont="1" applyProtection="1"/>
    <xf numFmtId="0" fontId="6" fillId="0" borderId="0" xfId="0" applyFont="1" applyProtection="1"/>
    <xf numFmtId="0" fontId="0" fillId="0" borderId="0" xfId="0" applyProtection="1"/>
    <xf numFmtId="0" fontId="9" fillId="0" borderId="14" xfId="0" applyNumberFormat="1" applyFont="1" applyFill="1" applyBorder="1" applyAlignment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22" fillId="0" borderId="0" xfId="0" applyFont="1" applyFill="1" applyProtection="1"/>
    <xf numFmtId="0" fontId="6" fillId="0" borderId="4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9" fontId="6" fillId="0" borderId="0" xfId="0" applyNumberFormat="1" applyFont="1" applyAlignment="1" applyProtection="1">
      <alignment horizontal="center"/>
    </xf>
    <xf numFmtId="0" fontId="21" fillId="0" borderId="0" xfId="0" applyFont="1" applyProtection="1"/>
    <xf numFmtId="0" fontId="6" fillId="0" borderId="4" xfId="0" applyFont="1" applyBorder="1" applyProtection="1"/>
    <xf numFmtId="7" fontId="6" fillId="0" borderId="4" xfId="0" applyNumberFormat="1" applyFont="1" applyFill="1" applyBorder="1" applyAlignment="1" applyProtection="1"/>
    <xf numFmtId="8" fontId="22" fillId="0" borderId="4" xfId="0" applyNumberFormat="1" applyFont="1" applyBorder="1" applyProtection="1"/>
    <xf numFmtId="7" fontId="6" fillId="0" borderId="4" xfId="0" applyNumberFormat="1" applyFont="1" applyBorder="1" applyAlignment="1" applyProtection="1">
      <alignment horizontal="right"/>
    </xf>
    <xf numFmtId="7" fontId="6" fillId="0" borderId="0" xfId="0" applyNumberFormat="1" applyFont="1" applyAlignment="1" applyProtection="1">
      <alignment horizontal="center"/>
    </xf>
    <xf numFmtId="9" fontId="6" fillId="0" borderId="4" xfId="0" applyNumberFormat="1" applyFont="1" applyBorder="1" applyAlignment="1" applyProtection="1">
      <alignment horizontal="center"/>
    </xf>
    <xf numFmtId="0" fontId="21" fillId="0" borderId="12" xfId="0" applyFont="1" applyBorder="1" applyAlignment="1" applyProtection="1">
      <alignment horizontal="left"/>
    </xf>
    <xf numFmtId="9" fontId="6" fillId="0" borderId="12" xfId="0" applyNumberFormat="1" applyFont="1" applyBorder="1" applyAlignment="1" applyProtection="1">
      <alignment horizontal="center"/>
    </xf>
    <xf numFmtId="7" fontId="6" fillId="0" borderId="4" xfId="0" applyNumberFormat="1" applyFont="1" applyFill="1" applyBorder="1" applyAlignment="1" applyProtection="1">
      <alignment horizontal="center"/>
    </xf>
    <xf numFmtId="0" fontId="9" fillId="0" borderId="0" xfId="0" applyFont="1" applyProtection="1"/>
    <xf numFmtId="10" fontId="6" fillId="0" borderId="4" xfId="0" applyNumberFormat="1" applyFont="1" applyBorder="1" applyAlignment="1" applyProtection="1">
      <alignment horizontal="center"/>
    </xf>
    <xf numFmtId="0" fontId="23" fillId="0" borderId="0" xfId="0" applyFont="1" applyProtection="1"/>
    <xf numFmtId="8" fontId="9" fillId="0" borderId="0" xfId="0" applyNumberFormat="1" applyFont="1" applyProtection="1"/>
    <xf numFmtId="7" fontId="6" fillId="0" borderId="4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0" fontId="6" fillId="0" borderId="2" xfId="0" applyNumberFormat="1" applyFont="1" applyBorder="1" applyAlignment="1" applyProtection="1">
      <alignment horizontal="center"/>
    </xf>
    <xf numFmtId="40" fontId="6" fillId="0" borderId="3" xfId="0" applyNumberFormat="1" applyFont="1" applyBorder="1" applyAlignment="1" applyProtection="1">
      <alignment horizontal="center"/>
    </xf>
    <xf numFmtId="7" fontId="6" fillId="2" borderId="4" xfId="0" applyNumberFormat="1" applyFont="1" applyFill="1" applyBorder="1" applyProtection="1"/>
    <xf numFmtId="7" fontId="6" fillId="0" borderId="4" xfId="0" applyNumberFormat="1" applyFont="1" applyBorder="1" applyProtection="1"/>
    <xf numFmtId="10" fontId="6" fillId="0" borderId="4" xfId="0" applyNumberFormat="1" applyFont="1" applyBorder="1" applyProtection="1"/>
    <xf numFmtId="7" fontId="6" fillId="0" borderId="1" xfId="0" applyNumberFormat="1" applyFont="1" applyBorder="1" applyProtection="1"/>
    <xf numFmtId="0" fontId="10" fillId="0" borderId="0" xfId="0" applyFont="1" applyProtection="1"/>
    <xf numFmtId="7" fontId="6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31" fillId="0" borderId="0" xfId="0" applyFont="1" applyProtection="1"/>
    <xf numFmtId="0" fontId="5" fillId="0" borderId="0" xfId="1" applyBorder="1" applyAlignment="1" applyProtection="1">
      <alignment vertical="center"/>
    </xf>
    <xf numFmtId="0" fontId="19" fillId="0" borderId="0" xfId="1" applyFont="1" applyBorder="1" applyAlignment="1" applyProtection="1">
      <alignment horizontal="center" vertical="center"/>
    </xf>
    <xf numFmtId="0" fontId="5" fillId="0" borderId="0" xfId="1" applyBorder="1" applyAlignment="1" applyProtection="1">
      <alignment horizontal="center" vertical="center"/>
    </xf>
    <xf numFmtId="0" fontId="16" fillId="0" borderId="4" xfId="1" applyFont="1" applyBorder="1" applyAlignment="1" applyProtection="1">
      <alignment vertical="center"/>
    </xf>
    <xf numFmtId="0" fontId="16" fillId="0" borderId="1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16" fillId="0" borderId="4" xfId="1" applyFont="1" applyBorder="1" applyAlignment="1" applyProtection="1">
      <alignment horizontal="center" vertical="center"/>
    </xf>
    <xf numFmtId="164" fontId="16" fillId="0" borderId="19" xfId="1" applyNumberFormat="1" applyFont="1" applyBorder="1" applyAlignment="1" applyProtection="1">
      <alignment horizontal="right" vertical="center"/>
    </xf>
    <xf numFmtId="0" fontId="33" fillId="0" borderId="0" xfId="1" applyFont="1" applyBorder="1" applyAlignment="1" applyProtection="1">
      <alignment vertical="center"/>
    </xf>
    <xf numFmtId="0" fontId="5" fillId="0" borderId="12" xfId="1" applyBorder="1" applyAlignment="1" applyProtection="1">
      <alignment vertical="center"/>
    </xf>
    <xf numFmtId="0" fontId="33" fillId="0" borderId="0" xfId="1" applyFont="1" applyAlignment="1" applyProtection="1">
      <alignment vertical="center"/>
    </xf>
    <xf numFmtId="0" fontId="5" fillId="0" borderId="0" xfId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6" fillId="0" borderId="0" xfId="0" applyFont="1" applyBorder="1" applyProtection="1"/>
    <xf numFmtId="7" fontId="6" fillId="0" borderId="0" xfId="0" applyNumberFormat="1" applyFont="1" applyBorder="1" applyAlignment="1" applyProtection="1">
      <alignment horizontal="right"/>
    </xf>
    <xf numFmtId="164" fontId="6" fillId="0" borderId="4" xfId="0" applyNumberFormat="1" applyFont="1" applyBorder="1" applyProtection="1"/>
    <xf numFmtId="164" fontId="6" fillId="0" borderId="4" xfId="20" applyNumberFormat="1" applyFont="1" applyBorder="1" applyProtection="1"/>
    <xf numFmtId="40" fontId="6" fillId="0" borderId="42" xfId="0" applyNumberFormat="1" applyFont="1" applyBorder="1" applyAlignment="1" applyProtection="1">
      <alignment horizontal="center"/>
    </xf>
    <xf numFmtId="40" fontId="6" fillId="0" borderId="43" xfId="0" applyNumberFormat="1" applyFont="1" applyFill="1" applyBorder="1" applyAlignment="1" applyProtection="1">
      <alignment horizontal="center"/>
    </xf>
    <xf numFmtId="40" fontId="6" fillId="0" borderId="44" xfId="0" applyNumberFormat="1" applyFont="1" applyBorder="1" applyAlignment="1" applyProtection="1">
      <alignment horizontal="center"/>
    </xf>
    <xf numFmtId="10" fontId="6" fillId="0" borderId="45" xfId="0" applyNumberFormat="1" applyFont="1" applyBorder="1" applyProtection="1"/>
    <xf numFmtId="10" fontId="6" fillId="0" borderId="46" xfId="0" applyNumberFormat="1" applyFont="1" applyBorder="1" applyProtection="1"/>
    <xf numFmtId="10" fontId="6" fillId="0" borderId="42" xfId="0" applyNumberFormat="1" applyFont="1" applyBorder="1" applyProtection="1"/>
    <xf numFmtId="10" fontId="6" fillId="0" borderId="47" xfId="0" applyNumberFormat="1" applyFont="1" applyBorder="1" applyProtection="1"/>
    <xf numFmtId="10" fontId="6" fillId="0" borderId="48" xfId="0" applyNumberFormat="1" applyFont="1" applyBorder="1" applyProtection="1"/>
    <xf numFmtId="10" fontId="6" fillId="0" borderId="49" xfId="0" applyNumberFormat="1" applyFont="1" applyBorder="1" applyProtection="1"/>
    <xf numFmtId="0" fontId="6" fillId="0" borderId="50" xfId="0" applyFont="1" applyBorder="1" applyAlignment="1" applyProtection="1">
      <alignment horizontal="center"/>
    </xf>
    <xf numFmtId="40" fontId="6" fillId="0" borderId="51" xfId="0" applyNumberFormat="1" applyFont="1" applyBorder="1" applyAlignment="1" applyProtection="1">
      <alignment horizontal="center"/>
    </xf>
    <xf numFmtId="10" fontId="6" fillId="0" borderId="52" xfId="0" applyNumberFormat="1" applyFont="1" applyBorder="1" applyProtection="1"/>
    <xf numFmtId="10" fontId="6" fillId="0" borderId="53" xfId="0" applyNumberFormat="1" applyFont="1" applyBorder="1" applyProtection="1"/>
    <xf numFmtId="10" fontId="6" fillId="0" borderId="54" xfId="0" applyNumberFormat="1" applyFont="1" applyBorder="1" applyProtection="1"/>
    <xf numFmtId="7" fontId="6" fillId="7" borderId="4" xfId="0" applyNumberFormat="1" applyFont="1" applyFill="1" applyBorder="1" applyProtection="1">
      <protection locked="0"/>
    </xf>
    <xf numFmtId="7" fontId="6" fillId="8" borderId="4" xfId="0" applyNumberFormat="1" applyFont="1" applyFill="1" applyBorder="1" applyProtection="1">
      <protection locked="0"/>
    </xf>
    <xf numFmtId="164" fontId="6" fillId="7" borderId="4" xfId="20" applyNumberFormat="1" applyFont="1" applyFill="1" applyBorder="1" applyProtection="1">
      <protection locked="0"/>
    </xf>
    <xf numFmtId="0" fontId="22" fillId="7" borderId="4" xfId="15" applyNumberFormat="1" applyFont="1" applyFill="1" applyBorder="1" applyAlignment="1" applyProtection="1">
      <protection locked="0"/>
    </xf>
    <xf numFmtId="0" fontId="22" fillId="7" borderId="4" xfId="0" applyNumberFormat="1" applyFont="1" applyFill="1" applyBorder="1" applyAlignment="1" applyProtection="1">
      <protection locked="0"/>
    </xf>
    <xf numFmtId="9" fontId="6" fillId="7" borderId="1" xfId="0" applyNumberFormat="1" applyFont="1" applyFill="1" applyBorder="1" applyAlignment="1" applyProtection="1">
      <alignment horizontal="center"/>
      <protection locked="0"/>
    </xf>
    <xf numFmtId="0" fontId="17" fillId="7" borderId="4" xfId="1" applyFont="1" applyFill="1" applyBorder="1" applyAlignment="1" applyProtection="1">
      <alignment vertical="center"/>
      <protection locked="0"/>
    </xf>
    <xf numFmtId="164" fontId="17" fillId="7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164" fontId="6" fillId="6" borderId="4" xfId="20" applyNumberFormat="1" applyFont="1" applyFill="1" applyBorder="1" applyProtection="1"/>
    <xf numFmtId="40" fontId="6" fillId="0" borderId="14" xfId="0" applyNumberFormat="1" applyFont="1" applyBorder="1" applyAlignment="1" applyProtection="1">
      <alignment horizontal="center"/>
    </xf>
    <xf numFmtId="40" fontId="6" fillId="0" borderId="21" xfId="0" applyNumberFormat="1" applyFont="1" applyBorder="1" applyAlignment="1" applyProtection="1">
      <alignment horizontal="center"/>
    </xf>
    <xf numFmtId="7" fontId="6" fillId="0" borderId="6" xfId="0" applyNumberFormat="1" applyFont="1" applyBorder="1" applyProtection="1"/>
    <xf numFmtId="40" fontId="6" fillId="9" borderId="0" xfId="0" applyNumberFormat="1" applyFont="1" applyFill="1" applyBorder="1" applyAlignment="1" applyProtection="1">
      <alignment horizontal="center"/>
    </xf>
    <xf numFmtId="7" fontId="6" fillId="9" borderId="0" xfId="0" applyNumberFormat="1" applyFont="1" applyFill="1" applyBorder="1" applyProtection="1"/>
    <xf numFmtId="10" fontId="6" fillId="0" borderId="9" xfId="0" applyNumberFormat="1" applyFont="1" applyBorder="1" applyProtection="1"/>
    <xf numFmtId="0" fontId="6" fillId="0" borderId="0" xfId="0" applyFont="1" applyBorder="1" applyAlignment="1" applyProtection="1">
      <alignment horizontal="center"/>
    </xf>
    <xf numFmtId="0" fontId="6" fillId="0" borderId="58" xfId="0" applyFont="1" applyBorder="1" applyProtection="1"/>
    <xf numFmtId="0" fontId="6" fillId="0" borderId="59" xfId="0" applyFont="1" applyBorder="1" applyAlignment="1" applyProtection="1">
      <alignment horizontal="center"/>
    </xf>
    <xf numFmtId="0" fontId="6" fillId="0" borderId="62" xfId="0" applyFont="1" applyBorder="1" applyAlignment="1" applyProtection="1">
      <alignment horizontal="center"/>
    </xf>
    <xf numFmtId="0" fontId="6" fillId="9" borderId="56" xfId="0" applyFont="1" applyFill="1" applyBorder="1" applyAlignment="1" applyProtection="1">
      <alignment horizontal="center"/>
    </xf>
    <xf numFmtId="0" fontId="0" fillId="0" borderId="56" xfId="0" applyBorder="1" applyProtection="1"/>
    <xf numFmtId="0" fontId="0" fillId="0" borderId="0" xfId="0" applyBorder="1" applyProtection="1"/>
    <xf numFmtId="40" fontId="21" fillId="0" borderId="44" xfId="0" applyNumberFormat="1" applyFont="1" applyBorder="1" applyAlignment="1" applyProtection="1">
      <alignment horizontal="center"/>
    </xf>
    <xf numFmtId="40" fontId="6" fillId="0" borderId="45" xfId="0" applyNumberFormat="1" applyFont="1" applyFill="1" applyBorder="1" applyAlignment="1" applyProtection="1">
      <alignment wrapText="1"/>
    </xf>
    <xf numFmtId="40" fontId="6" fillId="0" borderId="45" xfId="0" applyNumberFormat="1" applyFont="1" applyBorder="1" applyAlignment="1" applyProtection="1">
      <alignment wrapText="1"/>
    </xf>
    <xf numFmtId="0" fontId="6" fillId="0" borderId="45" xfId="0" applyFont="1" applyBorder="1" applyAlignment="1" applyProtection="1">
      <alignment wrapText="1"/>
    </xf>
    <xf numFmtId="0" fontId="6" fillId="0" borderId="45" xfId="0" applyFont="1" applyFill="1" applyBorder="1" applyAlignment="1" applyProtection="1">
      <alignment wrapText="1"/>
    </xf>
    <xf numFmtId="40" fontId="6" fillId="0" borderId="42" xfId="0" applyNumberFormat="1" applyFont="1" applyBorder="1" applyAlignment="1" applyProtection="1">
      <alignment wrapText="1"/>
    </xf>
    <xf numFmtId="7" fontId="6" fillId="0" borderId="63" xfId="0" applyNumberFormat="1" applyFont="1" applyBorder="1" applyProtection="1"/>
    <xf numFmtId="7" fontId="6" fillId="9" borderId="65" xfId="0" applyNumberFormat="1" applyFont="1" applyFill="1" applyBorder="1" applyProtection="1"/>
    <xf numFmtId="7" fontId="6" fillId="0" borderId="66" xfId="0" applyNumberFormat="1" applyFont="1" applyBorder="1" applyProtection="1"/>
    <xf numFmtId="10" fontId="6" fillId="0" borderId="63" xfId="0" applyNumberFormat="1" applyFont="1" applyBorder="1" applyProtection="1"/>
    <xf numFmtId="10" fontId="6" fillId="0" borderId="64" xfId="0" applyNumberFormat="1" applyFont="1" applyBorder="1" applyProtection="1"/>
    <xf numFmtId="0" fontId="0" fillId="0" borderId="65" xfId="0" applyBorder="1" applyProtection="1"/>
    <xf numFmtId="40" fontId="6" fillId="0" borderId="67" xfId="0" applyNumberFormat="1" applyFont="1" applyFill="1" applyBorder="1" applyAlignment="1" applyProtection="1">
      <alignment wrapText="1"/>
    </xf>
    <xf numFmtId="40" fontId="6" fillId="0" borderId="5" xfId="0" applyNumberFormat="1" applyFont="1" applyBorder="1" applyAlignment="1" applyProtection="1">
      <alignment horizontal="center"/>
    </xf>
    <xf numFmtId="7" fontId="6" fillId="7" borderId="5" xfId="0" applyNumberFormat="1" applyFont="1" applyFill="1" applyBorder="1" applyProtection="1">
      <protection locked="0"/>
    </xf>
    <xf numFmtId="7" fontId="6" fillId="6" borderId="5" xfId="0" applyNumberFormat="1" applyFont="1" applyFill="1" applyBorder="1" applyProtection="1"/>
    <xf numFmtId="40" fontId="6" fillId="0" borderId="1" xfId="0" applyNumberFormat="1" applyFont="1" applyBorder="1" applyAlignment="1" applyProtection="1">
      <alignment horizontal="center"/>
    </xf>
    <xf numFmtId="40" fontId="6" fillId="0" borderId="67" xfId="0" applyNumberFormat="1" applyFont="1" applyBorder="1" applyAlignment="1" applyProtection="1">
      <alignment horizontal="center"/>
    </xf>
    <xf numFmtId="40" fontId="6" fillId="0" borderId="68" xfId="0" applyNumberFormat="1" applyFont="1" applyBorder="1" applyAlignment="1" applyProtection="1">
      <alignment horizontal="center" wrapText="1"/>
    </xf>
    <xf numFmtId="10" fontId="6" fillId="0" borderId="67" xfId="0" applyNumberFormat="1" applyFont="1" applyBorder="1" applyProtection="1"/>
    <xf numFmtId="10" fontId="6" fillId="0" borderId="70" xfId="0" applyNumberFormat="1" applyFont="1" applyBorder="1" applyProtection="1"/>
    <xf numFmtId="40" fontId="6" fillId="0" borderId="47" xfId="0" applyNumberFormat="1" applyFont="1" applyFill="1" applyBorder="1" applyAlignment="1" applyProtection="1">
      <alignment horizontal="center"/>
    </xf>
    <xf numFmtId="40" fontId="6" fillId="0" borderId="70" xfId="0" applyNumberFormat="1" applyFont="1" applyBorder="1" applyAlignment="1" applyProtection="1">
      <alignment horizontal="center"/>
    </xf>
    <xf numFmtId="10" fontId="6" fillId="0" borderId="71" xfId="0" applyNumberFormat="1" applyFont="1" applyBorder="1" applyProtection="1"/>
    <xf numFmtId="40" fontId="6" fillId="0" borderId="71" xfId="0" applyNumberFormat="1" applyFont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right"/>
    </xf>
    <xf numFmtId="0" fontId="36" fillId="0" borderId="0" xfId="4" applyFont="1"/>
    <xf numFmtId="166" fontId="6" fillId="0" borderId="4" xfId="0" applyNumberFormat="1" applyFont="1" applyBorder="1" applyAlignment="1" applyProtection="1">
      <alignment horizontal="center"/>
    </xf>
    <xf numFmtId="164" fontId="6" fillId="0" borderId="4" xfId="20" applyNumberFormat="1" applyFont="1" applyFill="1" applyBorder="1" applyProtection="1"/>
    <xf numFmtId="7" fontId="7" fillId="0" borderId="75" xfId="0" applyNumberFormat="1" applyFont="1" applyBorder="1"/>
    <xf numFmtId="7" fontId="7" fillId="0" borderId="77" xfId="0" applyNumberFormat="1" applyFont="1" applyBorder="1"/>
    <xf numFmtId="7" fontId="7" fillId="0" borderId="80" xfId="0" applyNumberFormat="1" applyFont="1" applyBorder="1"/>
    <xf numFmtId="0" fontId="16" fillId="0" borderId="5" xfId="1" applyFont="1" applyBorder="1" applyAlignment="1" applyProtection="1">
      <alignment vertical="center"/>
    </xf>
    <xf numFmtId="0" fontId="16" fillId="0" borderId="12" xfId="1" applyFont="1" applyBorder="1" applyAlignment="1" applyProtection="1">
      <alignment vertical="center"/>
    </xf>
    <xf numFmtId="0" fontId="37" fillId="0" borderId="0" xfId="0" applyFont="1" applyFill="1" applyProtection="1"/>
    <xf numFmtId="0" fontId="37" fillId="0" borderId="4" xfId="15" applyFont="1" applyBorder="1" applyAlignment="1">
      <alignment horizontal="center" wrapText="1"/>
    </xf>
    <xf numFmtId="9" fontId="37" fillId="0" borderId="4" xfId="13" applyNumberFormat="1" applyFont="1" applyFill="1" applyBorder="1" applyAlignment="1">
      <alignment horizontal="center" vertical="center" wrapText="1"/>
    </xf>
    <xf numFmtId="0" fontId="37" fillId="0" borderId="0" xfId="15" applyFont="1"/>
    <xf numFmtId="166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Border="1" applyProtection="1"/>
    <xf numFmtId="0" fontId="6" fillId="0" borderId="60" xfId="0" applyFont="1" applyBorder="1" applyAlignment="1" applyProtection="1">
      <alignment horizontal="center"/>
    </xf>
    <xf numFmtId="0" fontId="6" fillId="0" borderId="55" xfId="0" applyFont="1" applyBorder="1" applyAlignment="1" applyProtection="1">
      <alignment horizontal="center"/>
    </xf>
    <xf numFmtId="0" fontId="6" fillId="0" borderId="56" xfId="0" applyFont="1" applyBorder="1" applyAlignment="1" applyProtection="1">
      <alignment horizontal="center"/>
    </xf>
    <xf numFmtId="0" fontId="6" fillId="0" borderId="61" xfId="0" applyFont="1" applyBorder="1" applyAlignment="1" applyProtection="1">
      <alignment horizontal="center"/>
    </xf>
    <xf numFmtId="0" fontId="6" fillId="0" borderId="69" xfId="0" applyFont="1" applyBorder="1" applyAlignment="1" applyProtection="1">
      <alignment horizontal="center"/>
    </xf>
    <xf numFmtId="0" fontId="6" fillId="0" borderId="57" xfId="0" applyFont="1" applyBorder="1" applyAlignment="1" applyProtection="1">
      <alignment horizontal="center"/>
    </xf>
    <xf numFmtId="9" fontId="6" fillId="7" borderId="9" xfId="0" applyNumberFormat="1" applyFont="1" applyFill="1" applyBorder="1" applyAlignment="1" applyProtection="1">
      <alignment horizontal="left"/>
      <protection locked="0"/>
    </xf>
    <xf numFmtId="9" fontId="6" fillId="7" borderId="10" xfId="0" applyNumberFormat="1" applyFont="1" applyFill="1" applyBorder="1" applyAlignment="1" applyProtection="1">
      <alignment horizontal="left"/>
      <protection locked="0"/>
    </xf>
    <xf numFmtId="9" fontId="6" fillId="7" borderId="11" xfId="0" applyNumberFormat="1" applyFont="1" applyFill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</xf>
    <xf numFmtId="0" fontId="12" fillId="0" borderId="0" xfId="1" applyFont="1" applyBorder="1" applyAlignment="1" applyProtection="1">
      <alignment horizontal="left" vertical="center"/>
    </xf>
    <xf numFmtId="0" fontId="14" fillId="0" borderId="12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right" vertical="center"/>
    </xf>
    <xf numFmtId="0" fontId="12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4" fillId="0" borderId="12" xfId="1" applyNumberFormat="1" applyFont="1" applyBorder="1" applyAlignment="1" applyProtection="1">
      <alignment horizontal="left" vertical="center"/>
    </xf>
    <xf numFmtId="49" fontId="17" fillId="0" borderId="9" xfId="1" applyNumberFormat="1" applyFont="1" applyBorder="1" applyAlignment="1">
      <alignment horizontal="left" vertical="center"/>
    </xf>
    <xf numFmtId="49" fontId="17" fillId="0" borderId="10" xfId="1" applyNumberFormat="1" applyFont="1" applyBorder="1" applyAlignment="1">
      <alignment horizontal="left" vertical="center"/>
    </xf>
    <xf numFmtId="49" fontId="17" fillId="0" borderId="11" xfId="1" applyNumberFormat="1" applyFont="1" applyBorder="1" applyAlignment="1">
      <alignment horizontal="left" vertical="center"/>
    </xf>
    <xf numFmtId="0" fontId="14" fillId="0" borderId="0" xfId="1" applyFont="1" applyBorder="1" applyAlignment="1" applyProtection="1">
      <alignment horizontal="left" vertical="center"/>
    </xf>
    <xf numFmtId="0" fontId="12" fillId="0" borderId="4" xfId="1" applyFont="1" applyBorder="1" applyAlignment="1" applyProtection="1">
      <alignment horizontal="left" vertical="center" wrapText="1"/>
    </xf>
    <xf numFmtId="0" fontId="16" fillId="0" borderId="9" xfId="1" applyFont="1" applyBorder="1" applyAlignment="1">
      <alignment horizontal="center" vertical="top" wrapText="1"/>
    </xf>
    <xf numFmtId="0" fontId="16" fillId="0" borderId="10" xfId="1" applyFont="1" applyBorder="1" applyAlignment="1">
      <alignment horizontal="center" vertical="top" wrapText="1"/>
    </xf>
    <xf numFmtId="0" fontId="16" fillId="0" borderId="11" xfId="1" applyFont="1" applyBorder="1" applyAlignment="1">
      <alignment horizontal="center" vertical="top" wrapText="1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49" fontId="17" fillId="0" borderId="9" xfId="1" applyNumberFormat="1" applyFont="1" applyBorder="1" applyAlignment="1">
      <alignment horizontal="left" vertical="center" wrapText="1"/>
    </xf>
    <xf numFmtId="49" fontId="17" fillId="0" borderId="10" xfId="1" applyNumberFormat="1" applyFont="1" applyBorder="1" applyAlignment="1">
      <alignment horizontal="left" vertical="center" wrapText="1"/>
    </xf>
    <xf numFmtId="49" fontId="17" fillId="0" borderId="11" xfId="1" applyNumberFormat="1" applyFont="1" applyBorder="1" applyAlignment="1">
      <alignment horizontal="left" vertical="center" wrapText="1"/>
    </xf>
    <xf numFmtId="49" fontId="17" fillId="0" borderId="9" xfId="1" applyNumberFormat="1" applyFont="1" applyBorder="1" applyAlignment="1">
      <alignment vertical="center"/>
    </xf>
    <xf numFmtId="49" fontId="17" fillId="0" borderId="10" xfId="1" applyNumberFormat="1" applyFont="1" applyBorder="1" applyAlignment="1">
      <alignment vertical="center"/>
    </xf>
    <xf numFmtId="49" fontId="17" fillId="0" borderId="11" xfId="1" applyNumberFormat="1" applyFont="1" applyBorder="1" applyAlignment="1">
      <alignment vertical="center"/>
    </xf>
    <xf numFmtId="49" fontId="17" fillId="0" borderId="6" xfId="1" applyNumberFormat="1" applyFont="1" applyBorder="1" applyAlignment="1">
      <alignment horizontal="left" vertical="center" wrapText="1"/>
    </xf>
    <xf numFmtId="49" fontId="17" fillId="0" borderId="7" xfId="1" applyNumberFormat="1" applyFont="1" applyBorder="1" applyAlignment="1">
      <alignment horizontal="left" vertical="center" wrapText="1"/>
    </xf>
    <xf numFmtId="49" fontId="17" fillId="0" borderId="8" xfId="1" applyNumberFormat="1" applyFont="1" applyBorder="1" applyAlignment="1">
      <alignment horizontal="left" vertical="center" wrapText="1"/>
    </xf>
    <xf numFmtId="0" fontId="19" fillId="0" borderId="0" xfId="1" applyFont="1" applyBorder="1" applyAlignment="1" applyProtection="1">
      <alignment horizontal="center" vertical="center"/>
    </xf>
    <xf numFmtId="0" fontId="5" fillId="0" borderId="0" xfId="1" applyBorder="1" applyAlignment="1" applyProtection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9" fillId="5" borderId="81" xfId="0" applyFont="1" applyFill="1" applyBorder="1" applyAlignment="1">
      <alignment horizontal="center"/>
    </xf>
    <xf numFmtId="0" fontId="19" fillId="5" borderId="82" xfId="0" applyFont="1" applyFill="1" applyBorder="1" applyAlignment="1">
      <alignment horizontal="center"/>
    </xf>
    <xf numFmtId="0" fontId="19" fillId="5" borderId="83" xfId="0" applyFont="1" applyFill="1" applyBorder="1" applyAlignment="1">
      <alignment horizontal="center"/>
    </xf>
    <xf numFmtId="0" fontId="7" fillId="0" borderId="74" xfId="0" applyFont="1" applyBorder="1" applyAlignment="1">
      <alignment horizontal="left"/>
    </xf>
    <xf numFmtId="0" fontId="7" fillId="0" borderId="72" xfId="0" applyFont="1" applyBorder="1" applyAlignment="1">
      <alignment horizontal="left"/>
    </xf>
    <xf numFmtId="0" fontId="7" fillId="0" borderId="76" xfId="0" applyFont="1" applyBorder="1" applyAlignment="1">
      <alignment horizontal="left"/>
    </xf>
    <xf numFmtId="0" fontId="7" fillId="0" borderId="73" xfId="0" applyFont="1" applyBorder="1" applyAlignment="1">
      <alignment horizontal="left"/>
    </xf>
    <xf numFmtId="0" fontId="7" fillId="0" borderId="76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8" xfId="0" applyFont="1" applyBorder="1" applyAlignment="1">
      <alignment horizontal="left"/>
    </xf>
    <xf numFmtId="0" fontId="7" fillId="0" borderId="79" xfId="0" applyFont="1" applyBorder="1" applyAlignment="1">
      <alignment horizontal="left"/>
    </xf>
    <xf numFmtId="7" fontId="19" fillId="5" borderId="34" xfId="0" applyNumberFormat="1" applyFont="1" applyFill="1" applyBorder="1" applyAlignment="1">
      <alignment horizontal="center"/>
    </xf>
    <xf numFmtId="7" fontId="19" fillId="5" borderId="35" xfId="0" applyNumberFormat="1" applyFont="1" applyFill="1" applyBorder="1" applyAlignment="1">
      <alignment horizontal="center"/>
    </xf>
    <xf numFmtId="7" fontId="19" fillId="5" borderId="36" xfId="0" applyNumberFormat="1" applyFont="1" applyFill="1" applyBorder="1" applyAlignment="1">
      <alignment horizontal="center"/>
    </xf>
    <xf numFmtId="0" fontId="19" fillId="5" borderId="34" xfId="0" applyFont="1" applyFill="1" applyBorder="1" applyAlignment="1">
      <alignment horizontal="center"/>
    </xf>
    <xf numFmtId="0" fontId="19" fillId="5" borderId="36" xfId="0" applyFont="1" applyFill="1" applyBorder="1" applyAlignment="1">
      <alignment horizontal="center"/>
    </xf>
    <xf numFmtId="0" fontId="17" fillId="0" borderId="0" xfId="0" applyFont="1" applyProtection="1"/>
  </cellXfs>
  <cellStyles count="48">
    <cellStyle name="Comma" xfId="18" builtinId="3"/>
    <cellStyle name="Comma 2" xfId="6" xr:uid="{00000000-0005-0000-0000-000001000000}"/>
    <cellStyle name="Comma 2 2" xfId="7" xr:uid="{00000000-0005-0000-0000-000002000000}"/>
    <cellStyle name="Comma 2 2 2" xfId="3" xr:uid="{00000000-0005-0000-0000-000003000000}"/>
    <cellStyle name="Comma 2 2 2 2" xfId="31" xr:uid="{00000000-0005-0000-0000-000004000000}"/>
    <cellStyle name="Comma 2 2 3" xfId="8" xr:uid="{00000000-0005-0000-0000-000005000000}"/>
    <cellStyle name="Comma 3" xfId="9" xr:uid="{00000000-0005-0000-0000-000006000000}"/>
    <cellStyle name="Comma 4" xfId="26" xr:uid="{00000000-0005-0000-0000-000007000000}"/>
    <cellStyle name="Currency" xfId="20" builtinId="4"/>
    <cellStyle name="Currency 2" xfId="16" xr:uid="{00000000-0005-0000-0000-000009000000}"/>
    <cellStyle name="Currency 3" xfId="39" xr:uid="{00000000-0005-0000-0000-00000A000000}"/>
    <cellStyle name="Normal" xfId="0" builtinId="0"/>
    <cellStyle name="Normal 2" xfId="1" xr:uid="{00000000-0005-0000-0000-00000C000000}"/>
    <cellStyle name="Normal 2 2" xfId="10" xr:uid="{00000000-0005-0000-0000-00000D000000}"/>
    <cellStyle name="Normal 2 2 2" xfId="15" xr:uid="{00000000-0005-0000-0000-00000E000000}"/>
    <cellStyle name="Normal 2 3" xfId="19" xr:uid="{00000000-0005-0000-0000-00000F000000}"/>
    <cellStyle name="Normal 2 3 2" xfId="23" xr:uid="{00000000-0005-0000-0000-000010000000}"/>
    <cellStyle name="Normal 2 3 2 2" xfId="42" xr:uid="{00000000-0005-0000-0000-000011000000}"/>
    <cellStyle name="Normal 2 3 3" xfId="38" xr:uid="{00000000-0005-0000-0000-000012000000}"/>
    <cellStyle name="Normal 2 3 4" xfId="29" xr:uid="{00000000-0005-0000-0000-000013000000}"/>
    <cellStyle name="Normal 2 4" xfId="22" xr:uid="{00000000-0005-0000-0000-000014000000}"/>
    <cellStyle name="Normal 2 4 2" xfId="41" xr:uid="{00000000-0005-0000-0000-000015000000}"/>
    <cellStyle name="Normal 2 5" xfId="21" xr:uid="{00000000-0005-0000-0000-000016000000}"/>
    <cellStyle name="Normal 2 5 2" xfId="40" xr:uid="{00000000-0005-0000-0000-000017000000}"/>
    <cellStyle name="Normal 2 6" xfId="28" xr:uid="{00000000-0005-0000-0000-000018000000}"/>
    <cellStyle name="Normal 2 7" xfId="24" xr:uid="{00000000-0005-0000-0000-000019000000}"/>
    <cellStyle name="Normal 3" xfId="2" xr:uid="{00000000-0005-0000-0000-00001A000000}"/>
    <cellStyle name="Normal 3 2" xfId="11" xr:uid="{00000000-0005-0000-0000-00001B000000}"/>
    <cellStyle name="Normal 3 2 2" xfId="4" xr:uid="{00000000-0005-0000-0000-00001C000000}"/>
    <cellStyle name="Normal 3 2 2 2" xfId="32" xr:uid="{00000000-0005-0000-0000-00001D000000}"/>
    <cellStyle name="Normal 3 2 3" xfId="12" xr:uid="{00000000-0005-0000-0000-00001E000000}"/>
    <cellStyle name="Normal 4" xfId="5" xr:uid="{00000000-0005-0000-0000-00001F000000}"/>
    <cellStyle name="Normal 4 2" xfId="27" xr:uid="{00000000-0005-0000-0000-000020000000}"/>
    <cellStyle name="Normal 4 3" xfId="47" xr:uid="{8B25BD6A-5679-47FB-B510-F61EB73712D9}"/>
    <cellStyle name="Normal 5" xfId="13" xr:uid="{00000000-0005-0000-0000-000021000000}"/>
    <cellStyle name="Normal 5 2" xfId="35" xr:uid="{00000000-0005-0000-0000-000022000000}"/>
    <cellStyle name="Normal 5 3" xfId="25" xr:uid="{00000000-0005-0000-0000-000023000000}"/>
    <cellStyle name="Normal 6" xfId="44" xr:uid="{00000000-0005-0000-0000-000024000000}"/>
    <cellStyle name="Normal 7" xfId="45" xr:uid="{FE09D7CC-99AD-4188-8E0F-733F671A5FFE}"/>
    <cellStyle name="Normal 9" xfId="34" xr:uid="{00000000-0005-0000-0000-000025000000}"/>
    <cellStyle name="Percent 2" xfId="14" xr:uid="{00000000-0005-0000-0000-000026000000}"/>
    <cellStyle name="Percent 2 2" xfId="36" xr:uid="{00000000-0005-0000-0000-000027000000}"/>
    <cellStyle name="Percent 2 3" xfId="33" xr:uid="{00000000-0005-0000-0000-000028000000}"/>
    <cellStyle name="Percent 3" xfId="17" xr:uid="{00000000-0005-0000-0000-000029000000}"/>
    <cellStyle name="Percent 3 2" xfId="37" xr:uid="{00000000-0005-0000-0000-00002A000000}"/>
    <cellStyle name="Percent 3 3" xfId="30" xr:uid="{00000000-0005-0000-0000-00002B000000}"/>
    <cellStyle name="Percent 4" xfId="43" xr:uid="{00000000-0005-0000-0000-00002C000000}"/>
    <cellStyle name="Percent 5" xfId="46" xr:uid="{9128ECA5-A66D-4AB2-876F-B54BEDFB08B7}"/>
  </cellStyles>
  <dxfs count="18"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37FF9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37FF9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37FF9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E1FFFF"/>
      <color rgb="FFCCFFFF"/>
      <color rgb="FF00F26D"/>
      <color rgb="FF37F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  <pageSetUpPr fitToPage="1"/>
  </sheetPr>
  <dimension ref="A1:AF68"/>
  <sheetViews>
    <sheetView tabSelected="1" zoomScale="80" zoomScaleNormal="80" workbookViewId="0">
      <selection activeCell="V12" sqref="V12"/>
    </sheetView>
  </sheetViews>
  <sheetFormatPr defaultColWidth="8.85546875" defaultRowHeight="15" x14ac:dyDescent="0.2"/>
  <cols>
    <col min="1" max="1" width="15.7109375" style="88" customWidth="1"/>
    <col min="2" max="2" width="67.7109375" style="88" customWidth="1"/>
    <col min="3" max="3" width="18.7109375" style="88" customWidth="1"/>
    <col min="4" max="6" width="17.7109375" style="88" customWidth="1"/>
    <col min="7" max="7" width="1.7109375" style="88" customWidth="1"/>
    <col min="8" max="8" width="19.85546875" style="88" customWidth="1"/>
    <col min="9" max="9" width="18.5703125" style="88" customWidth="1"/>
    <col min="10" max="12" width="13.7109375" style="88" hidden="1" customWidth="1"/>
    <col min="13" max="13" width="1.7109375" style="88" hidden="1" customWidth="1"/>
    <col min="14" max="14" width="13.7109375" style="88" hidden="1" customWidth="1"/>
    <col min="15" max="15" width="8.28515625" style="88" hidden="1" customWidth="1"/>
    <col min="16" max="16" width="1.7109375" style="88" hidden="1" customWidth="1"/>
    <col min="17" max="17" width="13.7109375" style="88" hidden="1" customWidth="1"/>
    <col min="18" max="18" width="8.28515625" style="88" hidden="1" customWidth="1"/>
    <col min="19" max="19" width="1.7109375" style="88" customWidth="1"/>
    <col min="20" max="22" width="11.7109375" style="88" customWidth="1"/>
    <col min="23" max="23" width="11.7109375" style="89" customWidth="1"/>
    <col min="24" max="24" width="1.7109375" style="89" customWidth="1"/>
    <col min="25" max="25" width="11.7109375" style="89" customWidth="1"/>
    <col min="26" max="26" width="8.85546875" style="89"/>
    <col min="27" max="27" width="14.7109375" style="89" customWidth="1"/>
    <col min="28" max="31" width="8.85546875" style="89"/>
    <col min="32" max="32" width="45.5703125" style="89" customWidth="1"/>
    <col min="33" max="16384" width="8.85546875" style="89"/>
  </cols>
  <sheetData>
    <row r="1" spans="1:32" ht="15.75" x14ac:dyDescent="0.25">
      <c r="A1" s="87" t="s">
        <v>701</v>
      </c>
      <c r="W1" s="280" t="s">
        <v>703</v>
      </c>
    </row>
    <row r="3" spans="1:32" ht="15.75" x14ac:dyDescent="0.25">
      <c r="A3" s="87" t="s">
        <v>0</v>
      </c>
      <c r="B3" s="160"/>
      <c r="C3" s="90" t="str">
        <f>IF(B3=""," &lt;&lt; Enter legal name of grant applicant","")</f>
        <v xml:space="preserve"> &lt;&lt; Enter legal name of grant applicant</v>
      </c>
    </row>
    <row r="5" spans="1:32" s="94" customFormat="1" x14ac:dyDescent="0.2">
      <c r="A5" s="91"/>
      <c r="B5" s="92"/>
      <c r="C5" s="93" t="s">
        <v>700</v>
      </c>
      <c r="D5" s="92"/>
      <c r="E5" s="92"/>
      <c r="F5" s="92"/>
      <c r="G5" s="92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32" s="94" customFormat="1" ht="15.75" x14ac:dyDescent="0.25">
      <c r="A6" s="95" t="s">
        <v>666</v>
      </c>
      <c r="B6" s="161"/>
      <c r="C6" s="96" t="str">
        <f>IF(B6="","",VLOOKUP(B6,CountyTier18,4,FALSE))</f>
        <v/>
      </c>
      <c r="D6" s="90" t="str">
        <f>IF(B6="", " &lt;&lt; Select county of grant applicant","")</f>
        <v xml:space="preserve"> &lt;&lt; Select county of grant applicant</v>
      </c>
      <c r="E6" s="92"/>
      <c r="F6" s="92"/>
      <c r="G6" s="92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7"/>
      <c r="AA6" s="94" t="s">
        <v>164</v>
      </c>
      <c r="AF6" s="216" t="str">
        <f>B6&amp;"-"&amp;B8</f>
        <v>-</v>
      </c>
    </row>
    <row r="7" spans="1:32" x14ac:dyDescent="0.2">
      <c r="C7" s="98"/>
    </row>
    <row r="8" spans="1:32" ht="15.75" x14ac:dyDescent="0.25">
      <c r="A8" s="87" t="s">
        <v>170</v>
      </c>
      <c r="B8" s="161"/>
      <c r="C8" s="90" t="str">
        <f>IF(B8=""," &lt;&lt; Select the applicant community","")</f>
        <v xml:space="preserve"> &lt;&lt; Select the applicant community</v>
      </c>
    </row>
    <row r="9" spans="1:32" x14ac:dyDescent="0.2">
      <c r="C9" s="98"/>
    </row>
    <row r="10" spans="1:32" ht="15.75" x14ac:dyDescent="0.25">
      <c r="B10" s="99" t="s">
        <v>163</v>
      </c>
      <c r="C10" s="98"/>
    </row>
    <row r="11" spans="1:32" ht="15.75" x14ac:dyDescent="0.25">
      <c r="B11" s="162"/>
      <c r="C11" s="90" t="str">
        <f>IF(B11=""," &lt;&lt; Select type of grant","")</f>
        <v xml:space="preserve"> &lt;&lt; Select type of grant</v>
      </c>
      <c r="E11" s="99" t="s">
        <v>103</v>
      </c>
      <c r="J11" s="91"/>
    </row>
    <row r="12" spans="1:32" ht="15.75" x14ac:dyDescent="0.25">
      <c r="B12" s="100" t="s">
        <v>620</v>
      </c>
      <c r="C12" s="101" t="str">
        <f>IF(OR(C6="",B11=""),"",IF(AND(C6="Yes",B11="Public Health and Safety – Equipment"),420000,IF(AND(C6="No",B11="Housing Rehabilitation"),500000,IF(AND(C6="Yes",B11="Housing Rehabilitation"),525000,IF(AND(C6="No",B11="Public Health and Safety – Equipment"),400000,IF(C6="Yes",630000,600000))))))</f>
        <v/>
      </c>
      <c r="E12" s="102" t="str">
        <f>IF(C12="","",C12-D$59)</f>
        <v/>
      </c>
      <c r="F12" s="88" t="str">
        <f>IF(E12=400000," &lt;&lt; Total balance of maximum $400,000 grant amount",IF(C12=420000," &lt;&lt; Total balance of maximum $420,000 grant amount",IF(C12=600000," &lt;&lt; Total balance of maximum $600,000 grant amount",IF(C12=630000," &lt;&lt; Total balance of maximum $630,000 grant amount",IF(E12&lt;0," &lt;&lt; Exceeds Total maximum grant amount","")))))</f>
        <v/>
      </c>
    </row>
    <row r="13" spans="1:32" ht="15.75" x14ac:dyDescent="0.25">
      <c r="B13" s="100" t="s">
        <v>615</v>
      </c>
      <c r="C13" s="103" t="str">
        <f>IF(C12="","",C12-C14)</f>
        <v/>
      </c>
      <c r="E13" s="102" t="str">
        <f>IF(E12="","",ROUND((1-C25)*E12,2))</f>
        <v/>
      </c>
      <c r="F13" s="88" t="str">
        <f>IF(E13&gt;=0," &lt;&lt; Non-administration amount of the total balance",IF(E13&lt;0," &lt;&lt; Exceeds maximum non-administration grant amount; Reduce non-administration line-item(s) by this amount",""))</f>
        <v xml:space="preserve"> &lt;&lt; Non-administration amount of the total balance</v>
      </c>
    </row>
    <row r="14" spans="1:32" ht="15.75" x14ac:dyDescent="0.25">
      <c r="B14" s="100" t="s">
        <v>696</v>
      </c>
      <c r="C14" s="103" t="str">
        <f>IF(C12="","",ROUND(C12*C25,2))</f>
        <v/>
      </c>
      <c r="E14" s="102" t="str">
        <f>IF(E12="","",E12-E13)</f>
        <v/>
      </c>
      <c r="F14" s="88" t="str">
        <f>IF(E14&gt;=0," &lt;&lt; Administration amount of the total balance",IF(E14&lt;0," &lt;&lt; Exceeds maximum administration grant amount",""))</f>
        <v xml:space="preserve"> &lt;&lt; Administration amount of the total balance</v>
      </c>
    </row>
    <row r="15" spans="1:32" x14ac:dyDescent="0.2">
      <c r="B15" s="100"/>
      <c r="C15" s="103"/>
    </row>
    <row r="16" spans="1:32" x14ac:dyDescent="0.2">
      <c r="B16" s="100" t="s">
        <v>617</v>
      </c>
      <c r="C16" s="103" t="str">
        <f>IF(C12="","",IF(B11="Housing Rehabilitation",0,IF(C12&gt;0,ROUND((C12/(1-C$21)),0)-C12,"")))</f>
        <v/>
      </c>
    </row>
    <row r="17" spans="1:22" x14ac:dyDescent="0.2">
      <c r="C17" s="104"/>
    </row>
    <row r="18" spans="1:22" ht="15.75" x14ac:dyDescent="0.25">
      <c r="B18" s="99" t="s">
        <v>619</v>
      </c>
      <c r="C18" s="104"/>
      <c r="E18" s="99" t="s">
        <v>98</v>
      </c>
    </row>
    <row r="19" spans="1:22" x14ac:dyDescent="0.2">
      <c r="B19" s="100" t="s">
        <v>171</v>
      </c>
      <c r="C19" s="105" t="str">
        <f>IF(B11="Housing Rehabilitation","N/A",IF(OR(B6="",B8=""),"",VLOOKUP(AF6,ATPRates2016,4,FALSE)))</f>
        <v/>
      </c>
      <c r="E19" s="231" t="s">
        <v>1</v>
      </c>
      <c r="F19" s="231"/>
      <c r="G19" s="231"/>
      <c r="H19" s="108">
        <f>C59</f>
        <v>0</v>
      </c>
    </row>
    <row r="20" spans="1:22" ht="15.75" x14ac:dyDescent="0.25">
      <c r="B20" s="100" t="s">
        <v>697</v>
      </c>
      <c r="C20" s="105" t="str">
        <f>IF(B11="Housing Rehabilitation","N/A",IF(C6="","",IF(C6="Yes",0.04,0)))</f>
        <v/>
      </c>
      <c r="E20" s="231" t="s">
        <v>610</v>
      </c>
      <c r="F20" s="231"/>
      <c r="G20" s="231"/>
      <c r="H20" s="108">
        <f>D59</f>
        <v>0</v>
      </c>
      <c r="I20" s="109" t="str">
        <f>IF(H20&gt;C12," &lt;&lt; CDBG grant funds exceeds maximum eligible amount","")</f>
        <v/>
      </c>
    </row>
    <row r="21" spans="1:22" ht="15.75" x14ac:dyDescent="0.25">
      <c r="B21" s="100" t="s">
        <v>698</v>
      </c>
      <c r="C21" s="105" t="str">
        <f>IF(C20="","",IF(B11="Housing Rehabilitation",1,SUM(C19-C20)))</f>
        <v/>
      </c>
      <c r="E21" s="231" t="s">
        <v>611</v>
      </c>
      <c r="F21" s="231"/>
      <c r="G21" s="231"/>
      <c r="H21" s="110">
        <f>IF(H19&gt;0,ROUND(H20/H19,4),0)</f>
        <v>0</v>
      </c>
      <c r="I21" s="109" t="str">
        <f>IF(C21="","",IF(B11="Housing Rehabilitation","",(IF(H21&gt;(1-C21),"CDBG % of Total Project Funds exceeds maximum eligible grant rate %",""))))</f>
        <v/>
      </c>
    </row>
    <row r="22" spans="1:22" x14ac:dyDescent="0.2">
      <c r="B22" s="100" t="s">
        <v>621</v>
      </c>
      <c r="C22" s="105" t="str">
        <f>C21</f>
        <v/>
      </c>
      <c r="E22" s="231" t="s">
        <v>56</v>
      </c>
      <c r="F22" s="231"/>
      <c r="G22" s="231"/>
      <c r="H22" s="110">
        <f>IF(D51&gt;0,ROUND(D51/D59,3),0)</f>
        <v>0</v>
      </c>
      <c r="I22" s="111"/>
    </row>
    <row r="23" spans="1:22" x14ac:dyDescent="0.2">
      <c r="E23" s="231" t="s">
        <v>618</v>
      </c>
      <c r="F23" s="231"/>
      <c r="G23" s="231"/>
      <c r="H23" s="113">
        <f>IF(C21="",0,IF(B11="Housing Rehabilitation",0,IF(H20&gt;0,ROUND((H20/(1-C21)),0)-H20,0)))</f>
        <v>0</v>
      </c>
    </row>
    <row r="24" spans="1:22" ht="15.75" x14ac:dyDescent="0.25">
      <c r="B24" s="106" t="s">
        <v>658</v>
      </c>
      <c r="C24" s="107"/>
    </row>
    <row r="25" spans="1:22" ht="15.75" x14ac:dyDescent="0.25">
      <c r="B25" s="100" t="s">
        <v>609</v>
      </c>
      <c r="C25" s="209">
        <f>IF(B11="Housing Rehabilitation",0.1,0.065)</f>
        <v>6.5000000000000002E-2</v>
      </c>
      <c r="E25" s="99" t="s">
        <v>677</v>
      </c>
    </row>
    <row r="26" spans="1:22" ht="15.75" x14ac:dyDescent="0.25">
      <c r="B26" s="139"/>
      <c r="C26" s="140"/>
      <c r="E26" s="228"/>
      <c r="F26" s="229"/>
      <c r="G26" s="229"/>
      <c r="H26" s="230"/>
      <c r="I26" s="207"/>
      <c r="J26" s="91"/>
    </row>
    <row r="27" spans="1:22" ht="15.75" x14ac:dyDescent="0.25">
      <c r="B27" s="99" t="s">
        <v>684</v>
      </c>
    </row>
    <row r="28" spans="1:22" x14ac:dyDescent="0.2">
      <c r="B28" s="100" t="s">
        <v>673</v>
      </c>
      <c r="C28" s="209">
        <f>IF(B11="Housing Rehabilitation",0.1,0.065)</f>
        <v>6.5000000000000002E-2</v>
      </c>
      <c r="D28" s="141" t="str">
        <f>IF(C12="","",IF($B$11="Housing Rehabilitation",ROUND(SUM($D$40:$D$50,$D$52:$D$57)/(1-0.1)-SUM($D$40:$D$50,$D$52:$D$57),0),IF($C$12=630000,(IF(ROUND(SUM($D$40:$D$50,$D$52:$D$57)/(1-0.065)-SUM($D$40:$D$50,$D$52:$D$57),0)&gt;40950,40950,ROUND(SUM($D$40:$D$50,$D$52:$D$57)/(1-0.065)-SUM($D$40:$D$50,$D$52:$D$57),0))),(IF(ROUND(SUM($D$40:$D$50,$D$52:$D$57)/(1-0.065)-SUM($D$40:$D$50,$D$52:$D$57),0)&gt;27300,27300,ROUND(SUM($D$40:$D$50,$D$52:$D$57)/(1-0.065)-SUM($D$40:$D$50,$D$52:$D$57),0))))))</f>
        <v/>
      </c>
    </row>
    <row r="29" spans="1:22" x14ac:dyDescent="0.2">
      <c r="B29" s="139"/>
      <c r="C29" s="220"/>
      <c r="D29" s="221"/>
    </row>
    <row r="30" spans="1:22" x14ac:dyDescent="0.2">
      <c r="D30" s="122"/>
    </row>
    <row r="31" spans="1:22" s="167" customFormat="1" ht="30" x14ac:dyDescent="0.2">
      <c r="A31" s="165"/>
      <c r="B31" s="166"/>
      <c r="C31" s="166" t="s">
        <v>671</v>
      </c>
      <c r="D31" s="166" t="s">
        <v>613</v>
      </c>
      <c r="E31" s="166" t="s">
        <v>676</v>
      </c>
      <c r="F31" s="166" t="s">
        <v>672</v>
      </c>
      <c r="G31" s="166"/>
      <c r="H31" s="166" t="s">
        <v>675</v>
      </c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</row>
    <row r="32" spans="1:22" x14ac:dyDescent="0.2">
      <c r="B32" s="100" t="s">
        <v>685</v>
      </c>
      <c r="C32" s="159"/>
      <c r="D32" s="159"/>
      <c r="E32" s="168">
        <f>IF(C21="",0,IF(B11="Housing Rehabilitation",0,ROUND((D32/(1-$C$21))-D32,0)))</f>
        <v>0</v>
      </c>
      <c r="F32" s="142">
        <f>IF(C32-D32-E32&lt;0,0,C32-D32-E32)</f>
        <v>0</v>
      </c>
      <c r="G32" s="142"/>
      <c r="H32" s="141">
        <f>E32+F32</f>
        <v>0</v>
      </c>
    </row>
    <row r="33" spans="1:25" customFormat="1" ht="12.75" x14ac:dyDescent="0.2"/>
    <row r="34" spans="1:25" customFormat="1" x14ac:dyDescent="0.2">
      <c r="B34" s="100" t="s">
        <v>686</v>
      </c>
      <c r="C34" s="159"/>
      <c r="D34" s="210">
        <f>IF(C21="",0,ROUND((C34-F34)*(1-C$21),))</f>
        <v>0</v>
      </c>
      <c r="E34" s="168">
        <f>IF(C21="",0,IF(B11="Housing Rehabilitation",0,ROUND((D34/(1-$C$21))-D34,0)))</f>
        <v>0</v>
      </c>
      <c r="F34" s="159"/>
      <c r="G34" s="142"/>
      <c r="H34" s="141">
        <f>E34+F34</f>
        <v>0</v>
      </c>
    </row>
    <row r="35" spans="1:25" ht="15.75" thickBot="1" x14ac:dyDescent="0.25"/>
    <row r="36" spans="1:25" x14ac:dyDescent="0.2">
      <c r="B36" s="176"/>
      <c r="C36" s="177"/>
      <c r="D36" s="177"/>
      <c r="E36" s="222" t="s">
        <v>616</v>
      </c>
      <c r="F36" s="223"/>
      <c r="G36" s="224"/>
      <c r="H36" s="223"/>
      <c r="I36" s="225"/>
      <c r="J36" s="177" t="s">
        <v>2</v>
      </c>
      <c r="K36" s="177" t="s">
        <v>3</v>
      </c>
      <c r="L36" s="177"/>
      <c r="M36" s="177"/>
      <c r="N36" s="177"/>
      <c r="O36" s="177"/>
      <c r="P36" s="177"/>
      <c r="Q36" s="177"/>
      <c r="R36" s="178"/>
      <c r="S36" s="179"/>
      <c r="T36" s="226" t="s">
        <v>613</v>
      </c>
      <c r="U36" s="227" t="s">
        <v>4</v>
      </c>
      <c r="V36" s="226" t="s">
        <v>32</v>
      </c>
      <c r="W36" s="227"/>
      <c r="X36" s="180"/>
      <c r="Y36" s="152" t="s">
        <v>101</v>
      </c>
    </row>
    <row r="37" spans="1:25" x14ac:dyDescent="0.2">
      <c r="A37" s="114"/>
      <c r="B37" s="145"/>
      <c r="C37" s="115" t="s">
        <v>5</v>
      </c>
      <c r="D37" s="115" t="s">
        <v>612</v>
      </c>
      <c r="E37" s="198" t="s">
        <v>674</v>
      </c>
      <c r="F37" s="198" t="s">
        <v>12</v>
      </c>
      <c r="G37" s="172"/>
      <c r="H37" s="198" t="s">
        <v>670</v>
      </c>
      <c r="I37" s="115" t="s">
        <v>5</v>
      </c>
      <c r="J37" s="115"/>
      <c r="K37" s="115"/>
      <c r="L37" s="115" t="s">
        <v>6</v>
      </c>
      <c r="M37" s="115"/>
      <c r="N37" s="115" t="s">
        <v>7</v>
      </c>
      <c r="O37" s="115" t="s">
        <v>8</v>
      </c>
      <c r="P37" s="115"/>
      <c r="Q37" s="115" t="s">
        <v>9</v>
      </c>
      <c r="R37" s="169" t="s">
        <v>8</v>
      </c>
      <c r="S37" s="172"/>
      <c r="T37" s="143" t="s">
        <v>614</v>
      </c>
      <c r="U37" s="203" t="s">
        <v>99</v>
      </c>
      <c r="V37" s="143" t="s">
        <v>8</v>
      </c>
      <c r="W37" s="203" t="s">
        <v>99</v>
      </c>
      <c r="X37" s="181"/>
      <c r="Y37" s="153" t="s">
        <v>102</v>
      </c>
    </row>
    <row r="38" spans="1:25" ht="15.75" x14ac:dyDescent="0.25">
      <c r="A38" s="114"/>
      <c r="B38" s="182" t="s">
        <v>13</v>
      </c>
      <c r="C38" s="115" t="s">
        <v>11</v>
      </c>
      <c r="D38" s="115" t="s">
        <v>10</v>
      </c>
      <c r="E38" s="115" t="s">
        <v>669</v>
      </c>
      <c r="F38" s="115" t="s">
        <v>15</v>
      </c>
      <c r="G38" s="172"/>
      <c r="H38" s="115" t="s">
        <v>11</v>
      </c>
      <c r="I38" s="115" t="s">
        <v>12</v>
      </c>
      <c r="J38" s="115"/>
      <c r="K38" s="115"/>
      <c r="L38" s="115" t="s">
        <v>5</v>
      </c>
      <c r="M38" s="115"/>
      <c r="N38" s="115" t="s">
        <v>14</v>
      </c>
      <c r="O38" s="115" t="s">
        <v>15</v>
      </c>
      <c r="P38" s="115"/>
      <c r="Q38" s="115" t="s">
        <v>15</v>
      </c>
      <c r="R38" s="169" t="s">
        <v>15</v>
      </c>
      <c r="S38" s="172"/>
      <c r="T38" s="145" t="s">
        <v>100</v>
      </c>
      <c r="U38" s="144" t="s">
        <v>11</v>
      </c>
      <c r="V38" s="145" t="s">
        <v>15</v>
      </c>
      <c r="W38" s="144" t="s">
        <v>11</v>
      </c>
      <c r="X38" s="181"/>
      <c r="Y38" s="153" t="s">
        <v>5</v>
      </c>
    </row>
    <row r="39" spans="1:25" ht="15.75" thickBot="1" x14ac:dyDescent="0.25">
      <c r="A39" s="114"/>
      <c r="B39" s="199"/>
      <c r="C39" s="195" t="s">
        <v>16</v>
      </c>
      <c r="D39" s="195" t="s">
        <v>14</v>
      </c>
      <c r="E39" s="195" t="s">
        <v>15</v>
      </c>
      <c r="F39" s="195" t="s">
        <v>14</v>
      </c>
      <c r="G39" s="172"/>
      <c r="H39" s="195" t="s">
        <v>14</v>
      </c>
      <c r="I39" s="115" t="s">
        <v>14</v>
      </c>
      <c r="J39" s="116"/>
      <c r="K39" s="116"/>
      <c r="L39" s="116" t="s">
        <v>11</v>
      </c>
      <c r="M39" s="116"/>
      <c r="N39" s="116"/>
      <c r="O39" s="116"/>
      <c r="P39" s="116"/>
      <c r="Q39" s="116"/>
      <c r="R39" s="170"/>
      <c r="S39" s="172"/>
      <c r="T39" s="199" t="s">
        <v>15</v>
      </c>
      <c r="U39" s="204" t="s">
        <v>14</v>
      </c>
      <c r="V39" s="199" t="s">
        <v>14</v>
      </c>
      <c r="W39" s="204" t="s">
        <v>14</v>
      </c>
      <c r="X39" s="181"/>
      <c r="Y39" s="206" t="s">
        <v>11</v>
      </c>
    </row>
    <row r="40" spans="1:25" ht="15.75" thickTop="1" x14ac:dyDescent="0.2">
      <c r="A40" s="175"/>
      <c r="B40" s="194" t="s">
        <v>17</v>
      </c>
      <c r="C40" s="196">
        <v>0</v>
      </c>
      <c r="D40" s="196">
        <v>0</v>
      </c>
      <c r="E40" s="197">
        <f>IF(C$21="",0,IF($B$11="Housing Rehabilitation",0,ROUND((D40/(1-C$21))-D40,)))</f>
        <v>0</v>
      </c>
      <c r="F40" s="157"/>
      <c r="G40" s="173"/>
      <c r="H40" s="158"/>
      <c r="I40" s="78">
        <f t="shared" ref="I40:I57" si="0">SUM(F40:H40)</f>
        <v>0</v>
      </c>
      <c r="J40" s="117"/>
      <c r="K40" s="117"/>
      <c r="L40" s="118">
        <f t="shared" ref="L40:L57" si="1">SUM(C40:K40)</f>
        <v>0</v>
      </c>
      <c r="M40" s="118"/>
      <c r="N40" s="118">
        <v>50000</v>
      </c>
      <c r="O40" s="119" t="e">
        <f t="shared" ref="O40:O51" si="2">IF(N40&gt;0,ROUND(N40/$C40,4),0)</f>
        <v>#DIV/0!</v>
      </c>
      <c r="P40" s="118"/>
      <c r="Q40" s="118" t="e">
        <f>L40-N40-#REF!</f>
        <v>#REF!</v>
      </c>
      <c r="R40" s="174" t="e">
        <f t="shared" ref="R40:R51" si="3">IF(Q40&gt;0,ROUND(Q40/$C40,4),0)</f>
        <v>#REF!</v>
      </c>
      <c r="S40" s="173"/>
      <c r="T40" s="201">
        <f t="shared" ref="T40:T57" si="4">IF(D40&gt;0,D40/(D40+I40),0)</f>
        <v>0</v>
      </c>
      <c r="U40" s="202">
        <f t="shared" ref="U40:U57" si="5">IF(D40&gt;0,ROUND(D40/$C40,4),0)</f>
        <v>0</v>
      </c>
      <c r="V40" s="201">
        <f t="shared" ref="V40:V57" si="6">IF(I40&gt;0,I40/(D40+I40),0)</f>
        <v>0</v>
      </c>
      <c r="W40" s="202">
        <f t="shared" ref="W40:W57" si="7">IF(I40&gt;0,ROUND(I40/$C40,4),0)</f>
        <v>0</v>
      </c>
      <c r="X40" s="181"/>
      <c r="Y40" s="205">
        <f t="shared" ref="Y40:Y57" si="8">IF(C$59=0,0,C40/C$59)</f>
        <v>0</v>
      </c>
    </row>
    <row r="41" spans="1:25" x14ac:dyDescent="0.2">
      <c r="A41" s="175"/>
      <c r="B41" s="184" t="s">
        <v>18</v>
      </c>
      <c r="C41" s="157">
        <v>0</v>
      </c>
      <c r="D41" s="157">
        <v>0</v>
      </c>
      <c r="E41" s="197">
        <f>IF(C$21="",0,IF($B$11="Housing Rehabilitation",0,ROUND((D41/(1-C$21))-D41,)))</f>
        <v>0</v>
      </c>
      <c r="F41" s="157"/>
      <c r="G41" s="173"/>
      <c r="H41" s="158"/>
      <c r="I41" s="78">
        <f t="shared" si="0"/>
        <v>0</v>
      </c>
      <c r="J41" s="117"/>
      <c r="K41" s="117"/>
      <c r="L41" s="118">
        <f t="shared" si="1"/>
        <v>0</v>
      </c>
      <c r="M41" s="118"/>
      <c r="N41" s="118"/>
      <c r="O41" s="119">
        <f t="shared" si="2"/>
        <v>0</v>
      </c>
      <c r="P41" s="118"/>
      <c r="Q41" s="118" t="e">
        <f>L41-N41-#REF!</f>
        <v>#REF!</v>
      </c>
      <c r="R41" s="174" t="e">
        <f t="shared" si="3"/>
        <v>#REF!</v>
      </c>
      <c r="S41" s="173"/>
      <c r="T41" s="146">
        <f t="shared" si="4"/>
        <v>0</v>
      </c>
      <c r="U41" s="147">
        <f t="shared" si="5"/>
        <v>0</v>
      </c>
      <c r="V41" s="146">
        <f t="shared" si="6"/>
        <v>0</v>
      </c>
      <c r="W41" s="147">
        <f t="shared" si="7"/>
        <v>0</v>
      </c>
      <c r="X41" s="181"/>
      <c r="Y41" s="154">
        <f t="shared" si="8"/>
        <v>0</v>
      </c>
    </row>
    <row r="42" spans="1:25" x14ac:dyDescent="0.2">
      <c r="A42" s="175"/>
      <c r="B42" s="183" t="s">
        <v>19</v>
      </c>
      <c r="C42" s="157">
        <v>0</v>
      </c>
      <c r="D42" s="157">
        <v>0</v>
      </c>
      <c r="E42" s="197">
        <f>IF(C$21="",0,IF($B$11="Housing Rehabilitation",0,ROUND((D42/(1-C$21))-D42,)))</f>
        <v>0</v>
      </c>
      <c r="F42" s="157"/>
      <c r="G42" s="173"/>
      <c r="H42" s="158"/>
      <c r="I42" s="78">
        <f t="shared" si="0"/>
        <v>0</v>
      </c>
      <c r="J42" s="117"/>
      <c r="K42" s="117"/>
      <c r="L42" s="118">
        <f t="shared" si="1"/>
        <v>0</v>
      </c>
      <c r="M42" s="118"/>
      <c r="N42" s="118"/>
      <c r="O42" s="119">
        <f t="shared" si="2"/>
        <v>0</v>
      </c>
      <c r="P42" s="118"/>
      <c r="Q42" s="118" t="e">
        <f>L42-N42-#REF!</f>
        <v>#REF!</v>
      </c>
      <c r="R42" s="174" t="e">
        <f t="shared" si="3"/>
        <v>#REF!</v>
      </c>
      <c r="S42" s="173"/>
      <c r="T42" s="146">
        <f t="shared" si="4"/>
        <v>0</v>
      </c>
      <c r="U42" s="147">
        <f t="shared" si="5"/>
        <v>0</v>
      </c>
      <c r="V42" s="146">
        <f t="shared" si="6"/>
        <v>0</v>
      </c>
      <c r="W42" s="147">
        <f t="shared" si="7"/>
        <v>0</v>
      </c>
      <c r="X42" s="181"/>
      <c r="Y42" s="154">
        <f t="shared" si="8"/>
        <v>0</v>
      </c>
    </row>
    <row r="43" spans="1:25" x14ac:dyDescent="0.2">
      <c r="A43" s="175"/>
      <c r="B43" s="183" t="s">
        <v>661</v>
      </c>
      <c r="C43" s="78">
        <f>D43+I43</f>
        <v>0</v>
      </c>
      <c r="D43" s="78">
        <f>'Grant Budget Detail'!C10</f>
        <v>0</v>
      </c>
      <c r="E43" s="197">
        <f>IF(C$21="",0,IF($B$11="Housing Rehabilitation",0,'Grant Budget Detail'!F10))</f>
        <v>0</v>
      </c>
      <c r="F43" s="157"/>
      <c r="G43" s="173"/>
      <c r="H43" s="158"/>
      <c r="I43" s="78">
        <f t="shared" si="0"/>
        <v>0</v>
      </c>
      <c r="J43" s="117"/>
      <c r="K43" s="117"/>
      <c r="L43" s="118">
        <f t="shared" si="1"/>
        <v>0</v>
      </c>
      <c r="M43" s="118"/>
      <c r="N43" s="118"/>
      <c r="O43" s="119">
        <f t="shared" si="2"/>
        <v>0</v>
      </c>
      <c r="P43" s="118"/>
      <c r="Q43" s="118" t="e">
        <f>L43-N43-#REF!</f>
        <v>#REF!</v>
      </c>
      <c r="R43" s="174" t="e">
        <f t="shared" si="3"/>
        <v>#REF!</v>
      </c>
      <c r="S43" s="173"/>
      <c r="T43" s="146">
        <f t="shared" si="4"/>
        <v>0</v>
      </c>
      <c r="U43" s="147">
        <f t="shared" si="5"/>
        <v>0</v>
      </c>
      <c r="V43" s="146">
        <f t="shared" si="6"/>
        <v>0</v>
      </c>
      <c r="W43" s="147">
        <f t="shared" si="7"/>
        <v>0</v>
      </c>
      <c r="X43" s="181"/>
      <c r="Y43" s="154">
        <f t="shared" si="8"/>
        <v>0</v>
      </c>
    </row>
    <row r="44" spans="1:25" x14ac:dyDescent="0.2">
      <c r="A44" s="175"/>
      <c r="B44" s="184" t="s">
        <v>21</v>
      </c>
      <c r="C44" s="157">
        <v>0</v>
      </c>
      <c r="D44" s="157">
        <v>0</v>
      </c>
      <c r="E44" s="197">
        <f t="shared" ref="E44:E51" si="9">IF(C$21="",0,IF($B$11="Housing Rehabilitation",0,ROUND((D44/(1-C$21))-D44,)))</f>
        <v>0</v>
      </c>
      <c r="F44" s="157"/>
      <c r="G44" s="173"/>
      <c r="H44" s="158"/>
      <c r="I44" s="78">
        <f t="shared" si="0"/>
        <v>0</v>
      </c>
      <c r="J44" s="117"/>
      <c r="K44" s="117"/>
      <c r="L44" s="118">
        <f t="shared" si="1"/>
        <v>0</v>
      </c>
      <c r="M44" s="118"/>
      <c r="N44" s="118"/>
      <c r="O44" s="119">
        <f t="shared" si="2"/>
        <v>0</v>
      </c>
      <c r="P44" s="118"/>
      <c r="Q44" s="118" t="e">
        <f>L44-N44-#REF!</f>
        <v>#REF!</v>
      </c>
      <c r="R44" s="174" t="e">
        <f t="shared" si="3"/>
        <v>#REF!</v>
      </c>
      <c r="S44" s="173"/>
      <c r="T44" s="146">
        <f t="shared" si="4"/>
        <v>0</v>
      </c>
      <c r="U44" s="147">
        <f t="shared" si="5"/>
        <v>0</v>
      </c>
      <c r="V44" s="146">
        <f t="shared" si="6"/>
        <v>0</v>
      </c>
      <c r="W44" s="147">
        <f t="shared" si="7"/>
        <v>0</v>
      </c>
      <c r="X44" s="181"/>
      <c r="Y44" s="154">
        <f t="shared" si="8"/>
        <v>0</v>
      </c>
    </row>
    <row r="45" spans="1:25" x14ac:dyDescent="0.2">
      <c r="A45" s="175"/>
      <c r="B45" s="184" t="s">
        <v>22</v>
      </c>
      <c r="C45" s="157">
        <v>0</v>
      </c>
      <c r="D45" s="157">
        <v>0</v>
      </c>
      <c r="E45" s="197">
        <f t="shared" si="9"/>
        <v>0</v>
      </c>
      <c r="F45" s="157"/>
      <c r="G45" s="173"/>
      <c r="H45" s="158"/>
      <c r="I45" s="78">
        <f t="shared" si="0"/>
        <v>0</v>
      </c>
      <c r="J45" s="117"/>
      <c r="K45" s="117"/>
      <c r="L45" s="118">
        <f t="shared" si="1"/>
        <v>0</v>
      </c>
      <c r="M45" s="118"/>
      <c r="N45" s="118"/>
      <c r="O45" s="119">
        <f t="shared" si="2"/>
        <v>0</v>
      </c>
      <c r="P45" s="118"/>
      <c r="Q45" s="118" t="e">
        <f>L45-N45-#REF!</f>
        <v>#REF!</v>
      </c>
      <c r="R45" s="174" t="e">
        <f t="shared" si="3"/>
        <v>#REF!</v>
      </c>
      <c r="S45" s="173"/>
      <c r="T45" s="146">
        <f t="shared" si="4"/>
        <v>0</v>
      </c>
      <c r="U45" s="147">
        <f t="shared" si="5"/>
        <v>0</v>
      </c>
      <c r="V45" s="146">
        <f t="shared" si="6"/>
        <v>0</v>
      </c>
      <c r="W45" s="147">
        <f t="shared" si="7"/>
        <v>0</v>
      </c>
      <c r="X45" s="181"/>
      <c r="Y45" s="154">
        <f t="shared" si="8"/>
        <v>0</v>
      </c>
    </row>
    <row r="46" spans="1:25" x14ac:dyDescent="0.2">
      <c r="A46" s="175"/>
      <c r="B46" s="184" t="s">
        <v>58</v>
      </c>
      <c r="C46" s="157">
        <v>0</v>
      </c>
      <c r="D46" s="157">
        <v>0</v>
      </c>
      <c r="E46" s="197">
        <f t="shared" si="9"/>
        <v>0</v>
      </c>
      <c r="F46" s="157"/>
      <c r="G46" s="173"/>
      <c r="H46" s="158"/>
      <c r="I46" s="78">
        <f t="shared" si="0"/>
        <v>0</v>
      </c>
      <c r="J46" s="117"/>
      <c r="K46" s="117"/>
      <c r="L46" s="118">
        <f t="shared" si="1"/>
        <v>0</v>
      </c>
      <c r="M46" s="118"/>
      <c r="N46" s="118"/>
      <c r="O46" s="119">
        <f t="shared" si="2"/>
        <v>0</v>
      </c>
      <c r="P46" s="118"/>
      <c r="Q46" s="118" t="e">
        <f>L46-N46-#REF!</f>
        <v>#REF!</v>
      </c>
      <c r="R46" s="174" t="e">
        <f t="shared" si="3"/>
        <v>#REF!</v>
      </c>
      <c r="S46" s="173"/>
      <c r="T46" s="146">
        <f t="shared" si="4"/>
        <v>0</v>
      </c>
      <c r="U46" s="147">
        <f t="shared" si="5"/>
        <v>0</v>
      </c>
      <c r="V46" s="146">
        <f t="shared" si="6"/>
        <v>0</v>
      </c>
      <c r="W46" s="147">
        <f t="shared" si="7"/>
        <v>0</v>
      </c>
      <c r="X46" s="181"/>
      <c r="Y46" s="154">
        <f t="shared" si="8"/>
        <v>0</v>
      </c>
    </row>
    <row r="47" spans="1:25" ht="45" x14ac:dyDescent="0.2">
      <c r="A47" s="175"/>
      <c r="B47" s="184" t="s">
        <v>23</v>
      </c>
      <c r="C47" s="157">
        <v>0</v>
      </c>
      <c r="D47" s="157">
        <v>0</v>
      </c>
      <c r="E47" s="197">
        <f t="shared" si="9"/>
        <v>0</v>
      </c>
      <c r="F47" s="157"/>
      <c r="G47" s="173"/>
      <c r="H47" s="158"/>
      <c r="I47" s="78">
        <f t="shared" si="0"/>
        <v>0</v>
      </c>
      <c r="J47" s="117"/>
      <c r="K47" s="117"/>
      <c r="L47" s="118">
        <f t="shared" si="1"/>
        <v>0</v>
      </c>
      <c r="M47" s="118"/>
      <c r="N47" s="118"/>
      <c r="O47" s="119">
        <f t="shared" si="2"/>
        <v>0</v>
      </c>
      <c r="P47" s="118"/>
      <c r="Q47" s="118" t="e">
        <f>L47-N47-#REF!</f>
        <v>#REF!</v>
      </c>
      <c r="R47" s="174" t="e">
        <f t="shared" si="3"/>
        <v>#REF!</v>
      </c>
      <c r="S47" s="173"/>
      <c r="T47" s="146">
        <f t="shared" si="4"/>
        <v>0</v>
      </c>
      <c r="U47" s="147">
        <f t="shared" si="5"/>
        <v>0</v>
      </c>
      <c r="V47" s="146">
        <f t="shared" si="6"/>
        <v>0</v>
      </c>
      <c r="W47" s="147">
        <f t="shared" si="7"/>
        <v>0</v>
      </c>
      <c r="X47" s="181"/>
      <c r="Y47" s="154">
        <f t="shared" si="8"/>
        <v>0</v>
      </c>
    </row>
    <row r="48" spans="1:25" ht="30" x14ac:dyDescent="0.2">
      <c r="A48" s="175"/>
      <c r="B48" s="185" t="s">
        <v>24</v>
      </c>
      <c r="C48" s="157">
        <v>0</v>
      </c>
      <c r="D48" s="157">
        <v>0</v>
      </c>
      <c r="E48" s="197">
        <f t="shared" si="9"/>
        <v>0</v>
      </c>
      <c r="F48" s="157"/>
      <c r="G48" s="173"/>
      <c r="H48" s="158"/>
      <c r="I48" s="78">
        <f t="shared" si="0"/>
        <v>0</v>
      </c>
      <c r="J48" s="117"/>
      <c r="K48" s="117"/>
      <c r="L48" s="118">
        <f t="shared" si="1"/>
        <v>0</v>
      </c>
      <c r="M48" s="118"/>
      <c r="N48" s="118"/>
      <c r="O48" s="119">
        <f t="shared" si="2"/>
        <v>0</v>
      </c>
      <c r="P48" s="118"/>
      <c r="Q48" s="118" t="e">
        <f>L48-N48-#REF!</f>
        <v>#REF!</v>
      </c>
      <c r="R48" s="174" t="e">
        <f t="shared" si="3"/>
        <v>#REF!</v>
      </c>
      <c r="S48" s="173"/>
      <c r="T48" s="146">
        <f t="shared" si="4"/>
        <v>0</v>
      </c>
      <c r="U48" s="147">
        <f t="shared" si="5"/>
        <v>0</v>
      </c>
      <c r="V48" s="146">
        <f t="shared" si="6"/>
        <v>0</v>
      </c>
      <c r="W48" s="147">
        <f t="shared" si="7"/>
        <v>0</v>
      </c>
      <c r="X48" s="181"/>
      <c r="Y48" s="154">
        <f t="shared" si="8"/>
        <v>0</v>
      </c>
    </row>
    <row r="49" spans="1:25" x14ac:dyDescent="0.2">
      <c r="A49" s="175"/>
      <c r="B49" s="184" t="s">
        <v>25</v>
      </c>
      <c r="C49" s="157">
        <v>0</v>
      </c>
      <c r="D49" s="157">
        <v>0</v>
      </c>
      <c r="E49" s="197">
        <f t="shared" si="9"/>
        <v>0</v>
      </c>
      <c r="F49" s="157"/>
      <c r="G49" s="173"/>
      <c r="H49" s="158"/>
      <c r="I49" s="78">
        <f t="shared" si="0"/>
        <v>0</v>
      </c>
      <c r="J49" s="117"/>
      <c r="K49" s="117"/>
      <c r="L49" s="118">
        <f t="shared" si="1"/>
        <v>0</v>
      </c>
      <c r="M49" s="118"/>
      <c r="N49" s="118"/>
      <c r="O49" s="119">
        <f t="shared" si="2"/>
        <v>0</v>
      </c>
      <c r="P49" s="118"/>
      <c r="Q49" s="118" t="e">
        <f>L49-N49-#REF!</f>
        <v>#REF!</v>
      </c>
      <c r="R49" s="174" t="e">
        <f t="shared" si="3"/>
        <v>#REF!</v>
      </c>
      <c r="S49" s="173"/>
      <c r="T49" s="146">
        <f t="shared" si="4"/>
        <v>0</v>
      </c>
      <c r="U49" s="147">
        <f t="shared" si="5"/>
        <v>0</v>
      </c>
      <c r="V49" s="146">
        <f t="shared" si="6"/>
        <v>0</v>
      </c>
      <c r="W49" s="147">
        <f t="shared" si="7"/>
        <v>0</v>
      </c>
      <c r="X49" s="181"/>
      <c r="Y49" s="154">
        <f t="shared" si="8"/>
        <v>0</v>
      </c>
    </row>
    <row r="50" spans="1:25" x14ac:dyDescent="0.2">
      <c r="A50" s="175"/>
      <c r="B50" s="184" t="s">
        <v>26</v>
      </c>
      <c r="C50" s="157">
        <v>0</v>
      </c>
      <c r="D50" s="157">
        <v>0</v>
      </c>
      <c r="E50" s="197">
        <f t="shared" si="9"/>
        <v>0</v>
      </c>
      <c r="F50" s="157"/>
      <c r="G50" s="173"/>
      <c r="H50" s="158"/>
      <c r="I50" s="78">
        <f t="shared" si="0"/>
        <v>0</v>
      </c>
      <c r="J50" s="117"/>
      <c r="K50" s="117"/>
      <c r="L50" s="118">
        <f t="shared" si="1"/>
        <v>0</v>
      </c>
      <c r="M50" s="118"/>
      <c r="N50" s="118"/>
      <c r="O50" s="119">
        <f t="shared" si="2"/>
        <v>0</v>
      </c>
      <c r="P50" s="118"/>
      <c r="Q50" s="118" t="e">
        <f>L50-N50-#REF!</f>
        <v>#REF!</v>
      </c>
      <c r="R50" s="174" t="e">
        <f t="shared" si="3"/>
        <v>#REF!</v>
      </c>
      <c r="S50" s="173"/>
      <c r="T50" s="146">
        <f t="shared" si="4"/>
        <v>0</v>
      </c>
      <c r="U50" s="147">
        <f t="shared" si="5"/>
        <v>0</v>
      </c>
      <c r="V50" s="146">
        <f t="shared" si="6"/>
        <v>0</v>
      </c>
      <c r="W50" s="147">
        <f t="shared" si="7"/>
        <v>0</v>
      </c>
      <c r="X50" s="181"/>
      <c r="Y50" s="154">
        <f t="shared" si="8"/>
        <v>0</v>
      </c>
    </row>
    <row r="51" spans="1:25" x14ac:dyDescent="0.2">
      <c r="A51" s="175"/>
      <c r="B51" s="183" t="s">
        <v>57</v>
      </c>
      <c r="C51" s="157">
        <v>0</v>
      </c>
      <c r="D51" s="157">
        <v>0</v>
      </c>
      <c r="E51" s="197">
        <f t="shared" si="9"/>
        <v>0</v>
      </c>
      <c r="F51" s="157"/>
      <c r="G51" s="173"/>
      <c r="H51" s="158"/>
      <c r="I51" s="78">
        <f>SUM(F51:H51)</f>
        <v>0</v>
      </c>
      <c r="J51" s="117"/>
      <c r="K51" s="117"/>
      <c r="L51" s="118">
        <f t="shared" si="1"/>
        <v>0</v>
      </c>
      <c r="M51" s="118"/>
      <c r="N51" s="118"/>
      <c r="O51" s="119">
        <f t="shared" si="2"/>
        <v>0</v>
      </c>
      <c r="P51" s="118"/>
      <c r="Q51" s="118" t="e">
        <f>L51-N51-#REF!</f>
        <v>#REF!</v>
      </c>
      <c r="R51" s="174" t="e">
        <f t="shared" si="3"/>
        <v>#REF!</v>
      </c>
      <c r="S51" s="173"/>
      <c r="T51" s="146">
        <f t="shared" si="4"/>
        <v>0</v>
      </c>
      <c r="U51" s="147">
        <f t="shared" si="5"/>
        <v>0</v>
      </c>
      <c r="V51" s="146">
        <f t="shared" si="6"/>
        <v>0</v>
      </c>
      <c r="W51" s="147">
        <f t="shared" si="7"/>
        <v>0</v>
      </c>
      <c r="X51" s="181"/>
      <c r="Y51" s="154">
        <f t="shared" si="8"/>
        <v>0</v>
      </c>
    </row>
    <row r="52" spans="1:25" x14ac:dyDescent="0.2">
      <c r="A52" s="175"/>
      <c r="B52" s="183" t="s">
        <v>681</v>
      </c>
      <c r="C52" s="78">
        <f>D52+I52</f>
        <v>0</v>
      </c>
      <c r="D52" s="78">
        <f>'Grant Budget Detail'!C20</f>
        <v>0</v>
      </c>
      <c r="E52" s="197">
        <f>IF(C$21="",0,IF($B$11="Housing Rehabilitation",0,'Grant Budget Detail'!F20))</f>
        <v>0</v>
      </c>
      <c r="F52" s="157"/>
      <c r="G52" s="173"/>
      <c r="H52" s="158"/>
      <c r="I52" s="78">
        <f t="shared" si="0"/>
        <v>0</v>
      </c>
      <c r="J52" s="117"/>
      <c r="K52" s="117"/>
      <c r="L52" s="118"/>
      <c r="M52" s="118"/>
      <c r="N52" s="118"/>
      <c r="O52" s="119"/>
      <c r="P52" s="118"/>
      <c r="Q52" s="118"/>
      <c r="R52" s="174"/>
      <c r="S52" s="173"/>
      <c r="T52" s="146">
        <f t="shared" si="4"/>
        <v>0</v>
      </c>
      <c r="U52" s="147">
        <f t="shared" si="5"/>
        <v>0</v>
      </c>
      <c r="V52" s="146">
        <f t="shared" si="6"/>
        <v>0</v>
      </c>
      <c r="W52" s="147">
        <f t="shared" si="7"/>
        <v>0</v>
      </c>
      <c r="X52" s="181"/>
      <c r="Y52" s="154">
        <f t="shared" si="8"/>
        <v>0</v>
      </c>
    </row>
    <row r="53" spans="1:25" x14ac:dyDescent="0.2">
      <c r="A53" s="175"/>
      <c r="B53" s="185" t="s">
        <v>27</v>
      </c>
      <c r="C53" s="157">
        <v>0</v>
      </c>
      <c r="D53" s="157">
        <v>0</v>
      </c>
      <c r="E53" s="197">
        <f>IF(C$21="",0,IF($B$11="Housing Rehabilitation",0,ROUND((D53/(1-C$21))-D53,)))</f>
        <v>0</v>
      </c>
      <c r="F53" s="157"/>
      <c r="G53" s="173"/>
      <c r="H53" s="158"/>
      <c r="I53" s="78">
        <f t="shared" si="0"/>
        <v>0</v>
      </c>
      <c r="J53" s="117"/>
      <c r="K53" s="117"/>
      <c r="L53" s="118">
        <f t="shared" si="1"/>
        <v>0</v>
      </c>
      <c r="M53" s="118"/>
      <c r="N53" s="118"/>
      <c r="O53" s="119">
        <f>IF(N53&gt;0,ROUND(N53/$C53,4),0)</f>
        <v>0</v>
      </c>
      <c r="P53" s="118"/>
      <c r="Q53" s="118" t="e">
        <f>L53-N53-#REF!</f>
        <v>#REF!</v>
      </c>
      <c r="R53" s="174" t="e">
        <f>IF(Q53&gt;0,ROUND(Q53/$C53,4),0)</f>
        <v>#REF!</v>
      </c>
      <c r="S53" s="173"/>
      <c r="T53" s="146">
        <f t="shared" si="4"/>
        <v>0</v>
      </c>
      <c r="U53" s="147">
        <f t="shared" si="5"/>
        <v>0</v>
      </c>
      <c r="V53" s="146">
        <f t="shared" si="6"/>
        <v>0</v>
      </c>
      <c r="W53" s="147">
        <f t="shared" si="7"/>
        <v>0</v>
      </c>
      <c r="X53" s="181"/>
      <c r="Y53" s="154">
        <f t="shared" si="8"/>
        <v>0</v>
      </c>
    </row>
    <row r="54" spans="1:25" x14ac:dyDescent="0.2">
      <c r="A54" s="175"/>
      <c r="B54" s="186" t="s">
        <v>28</v>
      </c>
      <c r="C54" s="157">
        <v>0</v>
      </c>
      <c r="D54" s="157">
        <v>0</v>
      </c>
      <c r="E54" s="197">
        <f>IF(C$21="",0,IF($B$11="Housing Rehabilitation",0,ROUND((D54/(1-C$21))-D54,)))</f>
        <v>0</v>
      </c>
      <c r="F54" s="157"/>
      <c r="G54" s="173"/>
      <c r="H54" s="158"/>
      <c r="I54" s="78">
        <f t="shared" si="0"/>
        <v>0</v>
      </c>
      <c r="J54" s="117"/>
      <c r="K54" s="117"/>
      <c r="L54" s="118">
        <f t="shared" si="1"/>
        <v>0</v>
      </c>
      <c r="M54" s="118"/>
      <c r="N54" s="118"/>
      <c r="O54" s="119">
        <f>IF(N54&gt;0,ROUND(N54/$C54,4),0)</f>
        <v>0</v>
      </c>
      <c r="P54" s="118"/>
      <c r="Q54" s="118" t="e">
        <f>L54-N54-#REF!</f>
        <v>#REF!</v>
      </c>
      <c r="R54" s="174" t="e">
        <f>IF(Q54&gt;0,ROUND(Q54/$C54,4),0)</f>
        <v>#REF!</v>
      </c>
      <c r="S54" s="173"/>
      <c r="T54" s="146">
        <f t="shared" si="4"/>
        <v>0</v>
      </c>
      <c r="U54" s="147">
        <f t="shared" si="5"/>
        <v>0</v>
      </c>
      <c r="V54" s="146">
        <f t="shared" si="6"/>
        <v>0</v>
      </c>
      <c r="W54" s="147">
        <f t="shared" si="7"/>
        <v>0</v>
      </c>
      <c r="X54" s="181"/>
      <c r="Y54" s="154">
        <f t="shared" si="8"/>
        <v>0</v>
      </c>
    </row>
    <row r="55" spans="1:25" x14ac:dyDescent="0.2">
      <c r="A55" s="175"/>
      <c r="B55" s="185" t="s">
        <v>662</v>
      </c>
      <c r="C55" s="78">
        <f>D55+I55</f>
        <v>0</v>
      </c>
      <c r="D55" s="78">
        <f>'Grant Budget Detail'!C30</f>
        <v>0</v>
      </c>
      <c r="E55" s="197">
        <f>IF(C$21="",0,IF($B$11="Housing Rehabilitation",0,'Grant Budget Detail'!F30))</f>
        <v>0</v>
      </c>
      <c r="F55" s="157"/>
      <c r="G55" s="173"/>
      <c r="H55" s="158"/>
      <c r="I55" s="78">
        <f t="shared" si="0"/>
        <v>0</v>
      </c>
      <c r="J55" s="117"/>
      <c r="K55" s="117"/>
      <c r="L55" s="118">
        <f t="shared" si="1"/>
        <v>0</v>
      </c>
      <c r="M55" s="118"/>
      <c r="N55" s="118"/>
      <c r="O55" s="119">
        <f>IF(N55&gt;0,ROUND(N55/$C55,4),0)</f>
        <v>0</v>
      </c>
      <c r="P55" s="118"/>
      <c r="Q55" s="118" t="e">
        <f>L55-N55-#REF!</f>
        <v>#REF!</v>
      </c>
      <c r="R55" s="174" t="e">
        <f>IF(Q55&gt;0,ROUND(Q55/$C55,4),0)</f>
        <v>#REF!</v>
      </c>
      <c r="S55" s="173"/>
      <c r="T55" s="146">
        <f t="shared" si="4"/>
        <v>0</v>
      </c>
      <c r="U55" s="147">
        <f t="shared" si="5"/>
        <v>0</v>
      </c>
      <c r="V55" s="146">
        <f t="shared" si="6"/>
        <v>0</v>
      </c>
      <c r="W55" s="147">
        <f t="shared" si="7"/>
        <v>0</v>
      </c>
      <c r="X55" s="181"/>
      <c r="Y55" s="154">
        <f t="shared" si="8"/>
        <v>0</v>
      </c>
    </row>
    <row r="56" spans="1:25" x14ac:dyDescent="0.2">
      <c r="A56" s="175"/>
      <c r="B56" s="184" t="s">
        <v>54</v>
      </c>
      <c r="C56" s="78">
        <f>D56+I56</f>
        <v>0</v>
      </c>
      <c r="D56" s="78">
        <f>'Grant Budget Detail'!C40</f>
        <v>0</v>
      </c>
      <c r="E56" s="197">
        <f>IF(C$21="",0,IF($B$11="Housing Rehabilitation",0,'Grant Budget Detail'!F40))</f>
        <v>0</v>
      </c>
      <c r="F56" s="157"/>
      <c r="G56" s="173"/>
      <c r="H56" s="158"/>
      <c r="I56" s="78">
        <f t="shared" si="0"/>
        <v>0</v>
      </c>
      <c r="J56" s="117"/>
      <c r="K56" s="117"/>
      <c r="L56" s="118">
        <f t="shared" si="1"/>
        <v>0</v>
      </c>
      <c r="M56" s="118"/>
      <c r="N56" s="118"/>
      <c r="O56" s="119">
        <f>IF(N56&gt;0,ROUND(N56/$C56,4),0)</f>
        <v>0</v>
      </c>
      <c r="P56" s="118"/>
      <c r="Q56" s="118" t="e">
        <f>L56-N56-#REF!</f>
        <v>#REF!</v>
      </c>
      <c r="R56" s="174" t="e">
        <f>IF(Q56&gt;0,ROUND(Q56/$C56,4),0)</f>
        <v>#REF!</v>
      </c>
      <c r="S56" s="173"/>
      <c r="T56" s="146">
        <f t="shared" si="4"/>
        <v>0</v>
      </c>
      <c r="U56" s="147">
        <f t="shared" si="5"/>
        <v>0</v>
      </c>
      <c r="V56" s="146">
        <f t="shared" si="6"/>
        <v>0</v>
      </c>
      <c r="W56" s="147">
        <f t="shared" si="7"/>
        <v>0</v>
      </c>
      <c r="X56" s="181"/>
      <c r="Y56" s="154">
        <f t="shared" si="8"/>
        <v>0</v>
      </c>
    </row>
    <row r="57" spans="1:25" x14ac:dyDescent="0.2">
      <c r="A57" s="175"/>
      <c r="B57" s="184" t="s">
        <v>29</v>
      </c>
      <c r="C57" s="157">
        <v>0</v>
      </c>
      <c r="D57" s="157">
        <v>0</v>
      </c>
      <c r="E57" s="197">
        <f>IF(C$21="",0,IF($B$11="Housing Rehabilitation",0,ROUND((D57/(1-C$21))-D57,)))</f>
        <v>0</v>
      </c>
      <c r="F57" s="157"/>
      <c r="G57" s="173"/>
      <c r="H57" s="158"/>
      <c r="I57" s="78">
        <f t="shared" si="0"/>
        <v>0</v>
      </c>
      <c r="J57" s="117"/>
      <c r="K57" s="117"/>
      <c r="L57" s="118">
        <f t="shared" si="1"/>
        <v>0</v>
      </c>
      <c r="M57" s="118"/>
      <c r="N57" s="118"/>
      <c r="O57" s="119">
        <f>IF(N57&gt;0,ROUND(N57/$C57,4),0)</f>
        <v>0</v>
      </c>
      <c r="P57" s="118"/>
      <c r="Q57" s="118" t="e">
        <f>L57-N57-#REF!</f>
        <v>#REF!</v>
      </c>
      <c r="R57" s="174" t="e">
        <f>IF(Q57&gt;0,ROUND(Q57/$C57,4),0)</f>
        <v>#REF!</v>
      </c>
      <c r="S57" s="173"/>
      <c r="T57" s="146">
        <f t="shared" si="4"/>
        <v>0</v>
      </c>
      <c r="U57" s="147">
        <f t="shared" si="5"/>
        <v>0</v>
      </c>
      <c r="V57" s="146">
        <f t="shared" si="6"/>
        <v>0</v>
      </c>
      <c r="W57" s="147">
        <f t="shared" si="7"/>
        <v>0</v>
      </c>
      <c r="X57" s="181"/>
      <c r="Y57" s="154">
        <f t="shared" si="8"/>
        <v>0</v>
      </c>
    </row>
    <row r="58" spans="1:25" x14ac:dyDescent="0.2">
      <c r="A58" s="139"/>
      <c r="B58" s="187"/>
      <c r="C58" s="120"/>
      <c r="D58" s="120"/>
      <c r="E58" s="120"/>
      <c r="F58" s="120"/>
      <c r="G58" s="173"/>
      <c r="H58" s="118"/>
      <c r="I58" s="118"/>
      <c r="J58" s="120"/>
      <c r="K58" s="120"/>
      <c r="L58" s="120"/>
      <c r="M58" s="120"/>
      <c r="N58" s="120"/>
      <c r="O58" s="120"/>
      <c r="P58" s="120"/>
      <c r="Q58" s="120"/>
      <c r="R58" s="171"/>
      <c r="S58" s="173"/>
      <c r="T58" s="148"/>
      <c r="U58" s="149"/>
      <c r="V58" s="148"/>
      <c r="W58" s="149"/>
      <c r="X58" s="181"/>
      <c r="Y58" s="155"/>
    </row>
    <row r="59" spans="1:25" ht="15.75" thickBot="1" x14ac:dyDescent="0.25">
      <c r="B59" s="200" t="s">
        <v>5</v>
      </c>
      <c r="C59" s="190">
        <f t="shared" ref="C59:H59" si="10">SUM(C40:C58)</f>
        <v>0</v>
      </c>
      <c r="D59" s="190">
        <f t="shared" si="10"/>
        <v>0</v>
      </c>
      <c r="E59" s="190">
        <f t="shared" si="10"/>
        <v>0</v>
      </c>
      <c r="F59" s="190">
        <f t="shared" si="10"/>
        <v>0</v>
      </c>
      <c r="G59" s="189"/>
      <c r="H59" s="190">
        <f t="shared" si="10"/>
        <v>0</v>
      </c>
      <c r="I59" s="190">
        <f>SUM(I40:I58)</f>
        <v>0</v>
      </c>
      <c r="J59" s="188"/>
      <c r="K59" s="188">
        <f>SUM(K40:K58)</f>
        <v>0</v>
      </c>
      <c r="L59" s="188">
        <f>SUM(L40:L58)</f>
        <v>0</v>
      </c>
      <c r="M59" s="188"/>
      <c r="N59" s="188">
        <f>SUM(N40:N58)</f>
        <v>50000</v>
      </c>
      <c r="O59" s="191" t="e">
        <f>IF(N59&gt;0,ROUND(N59/$C59,4),0)</f>
        <v>#DIV/0!</v>
      </c>
      <c r="P59" s="188"/>
      <c r="Q59" s="188" t="e">
        <f>SUM(Q40:Q58)</f>
        <v>#REF!</v>
      </c>
      <c r="R59" s="192" t="e">
        <f>IF(Q59&gt;0,ROUND(Q59/$C59,4),0)</f>
        <v>#REF!</v>
      </c>
      <c r="S59" s="189"/>
      <c r="T59" s="150">
        <f>IF(D59&gt;0,D59/(D59+E59),0)</f>
        <v>0</v>
      </c>
      <c r="U59" s="151">
        <f>IF(D59&gt;0,ROUND(D59/$C59,4),0)</f>
        <v>0</v>
      </c>
      <c r="V59" s="150">
        <f>IF(E59&gt;0,E59/(D59+E59),0)</f>
        <v>0</v>
      </c>
      <c r="W59" s="151">
        <f>IF(I59&gt;0,ROUND(I59/$C59,4),0)</f>
        <v>0</v>
      </c>
      <c r="X59" s="193"/>
      <c r="Y59" s="156">
        <f>SUM(Y40:Y58)</f>
        <v>0</v>
      </c>
    </row>
    <row r="61" spans="1:25" ht="15.75" x14ac:dyDescent="0.25">
      <c r="C61" s="121" t="s">
        <v>33</v>
      </c>
      <c r="D61" s="109"/>
      <c r="E61" s="109"/>
      <c r="F61" s="109"/>
      <c r="G61" s="109"/>
      <c r="I61" s="122"/>
    </row>
    <row r="62" spans="1:25" ht="15.75" x14ac:dyDescent="0.25">
      <c r="B62" s="123"/>
      <c r="C62" s="109" t="str">
        <f>IF(D59&gt;C12,"Total CDBG grant funds exceeds maximum eligible grant amount allowed by:","")</f>
        <v/>
      </c>
      <c r="I62" s="112" t="str">
        <f>IF(D59&gt;C12,D59-C12,"")</f>
        <v/>
      </c>
    </row>
    <row r="63" spans="1:25" ht="15.75" x14ac:dyDescent="0.25">
      <c r="B63" s="123"/>
      <c r="C63" s="109" t="str">
        <f>IF(AND(B11="Housing Rehabilitation",D51&gt;D28),"Admin cost attributed to CDBG grant funds exceeds maximum (10%) by:",IF(D51&gt;D28,"Admin cost attributed to CDBG grant funds exceeds maximum (6.5%) by:",""))</f>
        <v/>
      </c>
      <c r="I63" s="112" t="str">
        <f>IF(D51&gt;D28,D51-D28,"")</f>
        <v/>
      </c>
    </row>
    <row r="64" spans="1:25" ht="15.75" x14ac:dyDescent="0.25">
      <c r="B64" s="123"/>
      <c r="C64" s="109" t="str">
        <f>IF(AND(E26="Environmental Assessment",D54&gt;3000),"Environmental Review cost attributed to CDBG grant funds exceeds maximum by:",IF(AND(ISNUMBER(SEARCH("exempt",E26)),D54&gt;0),"Environmental Review cost attributed to CDBG grant funds exceeds maximum by:",IF(AND(E26="Environmental Assessment",D54&lt;3001),"",IF(D54&gt;2000,"Environmental Review cost attributed to CDBG grant funds exceeds maximum by:",""))))</f>
        <v/>
      </c>
      <c r="I64" s="112" t="str">
        <f>IF(AND(E26="Environmental Assessment",D54&gt;3000),D54-3000,IF(AND(ISNUMBER(SEARCH("exempt",E26)),D54&gt;0),D54-0,IF(AND(E26="Environmental Assessment",D54&lt;3001),"",IF(D54&gt;2000,D54-2000,""))))</f>
        <v/>
      </c>
    </row>
    <row r="65" spans="2:9" ht="15.75" x14ac:dyDescent="0.25">
      <c r="B65" s="123"/>
      <c r="C65" s="109" t="str">
        <f>IF(E59&gt;I59,"At least one line item does not meet the Minimum Grantee Match. Refer to the red cell(s) above.","")</f>
        <v/>
      </c>
      <c r="I65" s="112"/>
    </row>
    <row r="66" spans="2:9" ht="15.75" x14ac:dyDescent="0.25">
      <c r="B66" s="123"/>
      <c r="C66" s="109" t="str">
        <f>IF(D59+I59&lt;&gt;C59,"At least one line item does not contain the correct total match amount. Refer to the red cell(s) above.","")</f>
        <v/>
      </c>
      <c r="I66" s="112"/>
    </row>
    <row r="67" spans="2:9" ht="15.75" x14ac:dyDescent="0.25">
      <c r="B67" s="123"/>
      <c r="C67" s="124" t="str">
        <f>IF(OR(H23="",I59=0,I59="",(ROUND(H23,2)-ROUND(I59,2))=0),"",IF(H23-I59&gt;0,"Minimum grantee match requirement is short by:",IF(H23-I59&lt;0,"Grantee match exceeds minimum requirement by:","")))</f>
        <v/>
      </c>
      <c r="D67" s="109"/>
      <c r="I67" s="112" t="str">
        <f>IF(C67="","",IF(H23&gt;I59,H23-I59,IF(H23&lt;I59,I59-H23,"")))</f>
        <v/>
      </c>
    </row>
    <row r="68" spans="2:9" ht="15.75" x14ac:dyDescent="0.25">
      <c r="B68" s="125"/>
      <c r="C68" s="109"/>
    </row>
  </sheetData>
  <sheetProtection algorithmName="SHA-512" hashValue="GkYOeQgroIuUxBQng2p5vH0IoAJMKSzxhrvbtLXaOF0T7vwG6udwc7wDTzMOtxFML6fFDxReQH1xt+4F6fJo4Q==" saltValue="P348844U4wISja3sgQZD+g==" spinCount="100000" sheet="1" objects="1" scenarios="1"/>
  <mergeCells count="9">
    <mergeCell ref="E36:I36"/>
    <mergeCell ref="V36:W36"/>
    <mergeCell ref="T36:U36"/>
    <mergeCell ref="E26:H26"/>
    <mergeCell ref="E19:G19"/>
    <mergeCell ref="E20:G20"/>
    <mergeCell ref="E21:G21"/>
    <mergeCell ref="E22:G22"/>
    <mergeCell ref="E23:G23"/>
  </mergeCells>
  <conditionalFormatting sqref="F12:G14">
    <cfRule type="expression" dxfId="17" priority="31">
      <formula>#REF!&lt;0</formula>
    </cfRule>
  </conditionalFormatting>
  <conditionalFormatting sqref="E12">
    <cfRule type="cellIs" dxfId="16" priority="28" operator="lessThan">
      <formula>0</formula>
    </cfRule>
    <cfRule type="cellIs" dxfId="15" priority="29" operator="greaterThan">
      <formula>0</formula>
    </cfRule>
  </conditionalFormatting>
  <conditionalFormatting sqref="E13">
    <cfRule type="cellIs" dxfId="14" priority="25" operator="lessThan">
      <formula>0</formula>
    </cfRule>
    <cfRule type="cellIs" dxfId="13" priority="26" operator="greaterThan">
      <formula>0</formula>
    </cfRule>
  </conditionalFormatting>
  <conditionalFormatting sqref="E14">
    <cfRule type="cellIs" dxfId="12" priority="23" operator="lessThan">
      <formula>0</formula>
    </cfRule>
    <cfRule type="cellIs" dxfId="11" priority="24" operator="greaterThan">
      <formula>0</formula>
    </cfRule>
  </conditionalFormatting>
  <conditionalFormatting sqref="C40:C42 C44:C51 C53:C54">
    <cfRule type="cellIs" dxfId="10" priority="20" operator="lessThan">
      <formula>0</formula>
    </cfRule>
  </conditionalFormatting>
  <conditionalFormatting sqref="C57">
    <cfRule type="cellIs" dxfId="9" priority="18" operator="lessThan">
      <formula>0</formula>
    </cfRule>
  </conditionalFormatting>
  <conditionalFormatting sqref="C67">
    <cfRule type="containsText" dxfId="8" priority="15" operator="containsText" text="exceeds">
      <formula>NOT(ISERROR(SEARCH("exceeds",C67)))</formula>
    </cfRule>
    <cfRule type="containsText" dxfId="7" priority="16" operator="containsText" text="short">
      <formula>NOT(ISERROR(SEARCH("short",C67)))</formula>
    </cfRule>
  </conditionalFormatting>
  <conditionalFormatting sqref="I67">
    <cfRule type="expression" dxfId="6" priority="13">
      <formula>$I$59&lt;$E$59</formula>
    </cfRule>
    <cfRule type="expression" dxfId="5" priority="14">
      <formula>$I$59&gt;$E$59</formula>
    </cfRule>
  </conditionalFormatting>
  <conditionalFormatting sqref="D59">
    <cfRule type="expression" dxfId="4" priority="10">
      <formula>$D$59&gt;$C$12</formula>
    </cfRule>
  </conditionalFormatting>
  <conditionalFormatting sqref="E40:E57">
    <cfRule type="expression" dxfId="3" priority="6">
      <formula>$E40&gt;$I40</formula>
    </cfRule>
  </conditionalFormatting>
  <conditionalFormatting sqref="D54">
    <cfRule type="expression" dxfId="2" priority="36">
      <formula>IF(AND(E26&lt;&gt;"Environmental Assessment",D54&gt;2000),D54-2000)</formula>
    </cfRule>
    <cfRule type="expression" dxfId="1" priority="37">
      <formula>IF(AND(E26="Environmental Assessment",D54&gt;3000),D54-3000)</formula>
    </cfRule>
  </conditionalFormatting>
  <conditionalFormatting sqref="I40:I57">
    <cfRule type="expression" dxfId="0" priority="42">
      <formula>$I40+$D40&lt;&gt;$C40</formula>
    </cfRule>
  </conditionalFormatting>
  <dataValidations count="4">
    <dataValidation type="list" allowBlank="1" showInputMessage="1" showErrorMessage="1" sqref="B6" xr:uid="{00000000-0002-0000-0100-000000000000}">
      <formula1>Counties</formula1>
    </dataValidation>
    <dataValidation type="list" allowBlank="1" showInputMessage="1" showErrorMessage="1" sqref="B8" xr:uid="{00000000-0002-0000-0100-000001000000}">
      <formula1>INDIRECT($B$6)</formula1>
    </dataValidation>
    <dataValidation type="list" allowBlank="1" showInputMessage="1" showErrorMessage="1" sqref="B11" xr:uid="{00000000-0002-0000-0100-000002000000}">
      <formula1>"Community Infrastructure,Community Revitalization,Public Health and Safety – Construction,Public Health and Safety – Equipment,Housing Rehabilitation,Sewer Systems,Water Systems"</formula1>
    </dataValidation>
    <dataValidation type="list" allowBlank="1" showInputMessage="1" showErrorMessage="1" sqref="E26" xr:uid="{00000000-0002-0000-0100-000003000000}">
      <formula1>"Exempt, Categorically Excluded Converting to Exempt, Categorically Excluded, Environmental Assessment"</formula1>
    </dataValidation>
  </dataValidations>
  <pageMargins left="0.5" right="0.5" top="0.5" bottom="0.75" header="0.5" footer="0.5"/>
  <pageSetup scale="46" orientation="landscape" verticalDpi="597" r:id="rId1"/>
  <headerFooter alignWithMargins="0"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48"/>
  <sheetViews>
    <sheetView topLeftCell="A16" workbookViewId="0">
      <selection activeCell="G22" sqref="G22"/>
    </sheetView>
  </sheetViews>
  <sheetFormatPr defaultColWidth="6.7109375" defaultRowHeight="15" x14ac:dyDescent="0.2"/>
  <cols>
    <col min="1" max="3" width="6.7109375" style="1" customWidth="1"/>
    <col min="4" max="4" width="11.42578125" style="1" customWidth="1"/>
    <col min="5" max="5" width="6.7109375" style="1" customWidth="1"/>
    <col min="6" max="6" width="5.28515625" style="1" customWidth="1"/>
    <col min="7" max="9" width="14.28515625" style="1" customWidth="1"/>
    <col min="10" max="253" width="6.7109375" style="1"/>
    <col min="254" max="256" width="6.7109375" style="1" customWidth="1"/>
    <col min="257" max="257" width="11.42578125" style="1" customWidth="1"/>
    <col min="258" max="258" width="6.7109375" style="1" customWidth="1"/>
    <col min="259" max="259" width="5.28515625" style="1" customWidth="1"/>
    <col min="260" max="264" width="6.7109375" style="1"/>
    <col min="265" max="265" width="11.28515625" style="1" customWidth="1"/>
    <col min="266" max="509" width="6.7109375" style="1"/>
    <col min="510" max="512" width="6.7109375" style="1" customWidth="1"/>
    <col min="513" max="513" width="11.42578125" style="1" customWidth="1"/>
    <col min="514" max="514" width="6.7109375" style="1" customWidth="1"/>
    <col min="515" max="515" width="5.28515625" style="1" customWidth="1"/>
    <col min="516" max="520" width="6.7109375" style="1"/>
    <col min="521" max="521" width="11.28515625" style="1" customWidth="1"/>
    <col min="522" max="765" width="6.7109375" style="1"/>
    <col min="766" max="768" width="6.7109375" style="1" customWidth="1"/>
    <col min="769" max="769" width="11.42578125" style="1" customWidth="1"/>
    <col min="770" max="770" width="6.7109375" style="1" customWidth="1"/>
    <col min="771" max="771" width="5.28515625" style="1" customWidth="1"/>
    <col min="772" max="776" width="6.7109375" style="1"/>
    <col min="777" max="777" width="11.28515625" style="1" customWidth="1"/>
    <col min="778" max="1021" width="6.7109375" style="1"/>
    <col min="1022" max="1024" width="6.7109375" style="1" customWidth="1"/>
    <col min="1025" max="1025" width="11.42578125" style="1" customWidth="1"/>
    <col min="1026" max="1026" width="6.7109375" style="1" customWidth="1"/>
    <col min="1027" max="1027" width="5.28515625" style="1" customWidth="1"/>
    <col min="1028" max="1032" width="6.7109375" style="1"/>
    <col min="1033" max="1033" width="11.28515625" style="1" customWidth="1"/>
    <col min="1034" max="1277" width="6.7109375" style="1"/>
    <col min="1278" max="1280" width="6.7109375" style="1" customWidth="1"/>
    <col min="1281" max="1281" width="11.42578125" style="1" customWidth="1"/>
    <col min="1282" max="1282" width="6.7109375" style="1" customWidth="1"/>
    <col min="1283" max="1283" width="5.28515625" style="1" customWidth="1"/>
    <col min="1284" max="1288" width="6.7109375" style="1"/>
    <col min="1289" max="1289" width="11.28515625" style="1" customWidth="1"/>
    <col min="1290" max="1533" width="6.7109375" style="1"/>
    <col min="1534" max="1536" width="6.7109375" style="1" customWidth="1"/>
    <col min="1537" max="1537" width="11.42578125" style="1" customWidth="1"/>
    <col min="1538" max="1538" width="6.7109375" style="1" customWidth="1"/>
    <col min="1539" max="1539" width="5.28515625" style="1" customWidth="1"/>
    <col min="1540" max="1544" width="6.7109375" style="1"/>
    <col min="1545" max="1545" width="11.28515625" style="1" customWidth="1"/>
    <col min="1546" max="1789" width="6.7109375" style="1"/>
    <col min="1790" max="1792" width="6.7109375" style="1" customWidth="1"/>
    <col min="1793" max="1793" width="11.42578125" style="1" customWidth="1"/>
    <col min="1794" max="1794" width="6.7109375" style="1" customWidth="1"/>
    <col min="1795" max="1795" width="5.28515625" style="1" customWidth="1"/>
    <col min="1796" max="1800" width="6.7109375" style="1"/>
    <col min="1801" max="1801" width="11.28515625" style="1" customWidth="1"/>
    <col min="1802" max="2045" width="6.7109375" style="1"/>
    <col min="2046" max="2048" width="6.7109375" style="1" customWidth="1"/>
    <col min="2049" max="2049" width="11.42578125" style="1" customWidth="1"/>
    <col min="2050" max="2050" width="6.7109375" style="1" customWidth="1"/>
    <col min="2051" max="2051" width="5.28515625" style="1" customWidth="1"/>
    <col min="2052" max="2056" width="6.7109375" style="1"/>
    <col min="2057" max="2057" width="11.28515625" style="1" customWidth="1"/>
    <col min="2058" max="2301" width="6.7109375" style="1"/>
    <col min="2302" max="2304" width="6.7109375" style="1" customWidth="1"/>
    <col min="2305" max="2305" width="11.42578125" style="1" customWidth="1"/>
    <col min="2306" max="2306" width="6.7109375" style="1" customWidth="1"/>
    <col min="2307" max="2307" width="5.28515625" style="1" customWidth="1"/>
    <col min="2308" max="2312" width="6.7109375" style="1"/>
    <col min="2313" max="2313" width="11.28515625" style="1" customWidth="1"/>
    <col min="2314" max="2557" width="6.7109375" style="1"/>
    <col min="2558" max="2560" width="6.7109375" style="1" customWidth="1"/>
    <col min="2561" max="2561" width="11.42578125" style="1" customWidth="1"/>
    <col min="2562" max="2562" width="6.7109375" style="1" customWidth="1"/>
    <col min="2563" max="2563" width="5.28515625" style="1" customWidth="1"/>
    <col min="2564" max="2568" width="6.7109375" style="1"/>
    <col min="2569" max="2569" width="11.28515625" style="1" customWidth="1"/>
    <col min="2570" max="2813" width="6.7109375" style="1"/>
    <col min="2814" max="2816" width="6.7109375" style="1" customWidth="1"/>
    <col min="2817" max="2817" width="11.42578125" style="1" customWidth="1"/>
    <col min="2818" max="2818" width="6.7109375" style="1" customWidth="1"/>
    <col min="2819" max="2819" width="5.28515625" style="1" customWidth="1"/>
    <col min="2820" max="2824" width="6.7109375" style="1"/>
    <col min="2825" max="2825" width="11.28515625" style="1" customWidth="1"/>
    <col min="2826" max="3069" width="6.7109375" style="1"/>
    <col min="3070" max="3072" width="6.7109375" style="1" customWidth="1"/>
    <col min="3073" max="3073" width="11.42578125" style="1" customWidth="1"/>
    <col min="3074" max="3074" width="6.7109375" style="1" customWidth="1"/>
    <col min="3075" max="3075" width="5.28515625" style="1" customWidth="1"/>
    <col min="3076" max="3080" width="6.7109375" style="1"/>
    <col min="3081" max="3081" width="11.28515625" style="1" customWidth="1"/>
    <col min="3082" max="3325" width="6.7109375" style="1"/>
    <col min="3326" max="3328" width="6.7109375" style="1" customWidth="1"/>
    <col min="3329" max="3329" width="11.42578125" style="1" customWidth="1"/>
    <col min="3330" max="3330" width="6.7109375" style="1" customWidth="1"/>
    <col min="3331" max="3331" width="5.28515625" style="1" customWidth="1"/>
    <col min="3332" max="3336" width="6.7109375" style="1"/>
    <col min="3337" max="3337" width="11.28515625" style="1" customWidth="1"/>
    <col min="3338" max="3581" width="6.7109375" style="1"/>
    <col min="3582" max="3584" width="6.7109375" style="1" customWidth="1"/>
    <col min="3585" max="3585" width="11.42578125" style="1" customWidth="1"/>
    <col min="3586" max="3586" width="6.7109375" style="1" customWidth="1"/>
    <col min="3587" max="3587" width="5.28515625" style="1" customWidth="1"/>
    <col min="3588" max="3592" width="6.7109375" style="1"/>
    <col min="3593" max="3593" width="11.28515625" style="1" customWidth="1"/>
    <col min="3594" max="3837" width="6.7109375" style="1"/>
    <col min="3838" max="3840" width="6.7109375" style="1" customWidth="1"/>
    <col min="3841" max="3841" width="11.42578125" style="1" customWidth="1"/>
    <col min="3842" max="3842" width="6.7109375" style="1" customWidth="1"/>
    <col min="3843" max="3843" width="5.28515625" style="1" customWidth="1"/>
    <col min="3844" max="3848" width="6.7109375" style="1"/>
    <col min="3849" max="3849" width="11.28515625" style="1" customWidth="1"/>
    <col min="3850" max="4093" width="6.7109375" style="1"/>
    <col min="4094" max="4096" width="6.7109375" style="1" customWidth="1"/>
    <col min="4097" max="4097" width="11.42578125" style="1" customWidth="1"/>
    <col min="4098" max="4098" width="6.7109375" style="1" customWidth="1"/>
    <col min="4099" max="4099" width="5.28515625" style="1" customWidth="1"/>
    <col min="4100" max="4104" width="6.7109375" style="1"/>
    <col min="4105" max="4105" width="11.28515625" style="1" customWidth="1"/>
    <col min="4106" max="4349" width="6.7109375" style="1"/>
    <col min="4350" max="4352" width="6.7109375" style="1" customWidth="1"/>
    <col min="4353" max="4353" width="11.42578125" style="1" customWidth="1"/>
    <col min="4354" max="4354" width="6.7109375" style="1" customWidth="1"/>
    <col min="4355" max="4355" width="5.28515625" style="1" customWidth="1"/>
    <col min="4356" max="4360" width="6.7109375" style="1"/>
    <col min="4361" max="4361" width="11.28515625" style="1" customWidth="1"/>
    <col min="4362" max="4605" width="6.7109375" style="1"/>
    <col min="4606" max="4608" width="6.7109375" style="1" customWidth="1"/>
    <col min="4609" max="4609" width="11.42578125" style="1" customWidth="1"/>
    <col min="4610" max="4610" width="6.7109375" style="1" customWidth="1"/>
    <col min="4611" max="4611" width="5.28515625" style="1" customWidth="1"/>
    <col min="4612" max="4616" width="6.7109375" style="1"/>
    <col min="4617" max="4617" width="11.28515625" style="1" customWidth="1"/>
    <col min="4618" max="4861" width="6.7109375" style="1"/>
    <col min="4862" max="4864" width="6.7109375" style="1" customWidth="1"/>
    <col min="4865" max="4865" width="11.42578125" style="1" customWidth="1"/>
    <col min="4866" max="4866" width="6.7109375" style="1" customWidth="1"/>
    <col min="4867" max="4867" width="5.28515625" style="1" customWidth="1"/>
    <col min="4868" max="4872" width="6.7109375" style="1"/>
    <col min="4873" max="4873" width="11.28515625" style="1" customWidth="1"/>
    <col min="4874" max="5117" width="6.7109375" style="1"/>
    <col min="5118" max="5120" width="6.7109375" style="1" customWidth="1"/>
    <col min="5121" max="5121" width="11.42578125" style="1" customWidth="1"/>
    <col min="5122" max="5122" width="6.7109375" style="1" customWidth="1"/>
    <col min="5123" max="5123" width="5.28515625" style="1" customWidth="1"/>
    <col min="5124" max="5128" width="6.7109375" style="1"/>
    <col min="5129" max="5129" width="11.28515625" style="1" customWidth="1"/>
    <col min="5130" max="5373" width="6.7109375" style="1"/>
    <col min="5374" max="5376" width="6.7109375" style="1" customWidth="1"/>
    <col min="5377" max="5377" width="11.42578125" style="1" customWidth="1"/>
    <col min="5378" max="5378" width="6.7109375" style="1" customWidth="1"/>
    <col min="5379" max="5379" width="5.28515625" style="1" customWidth="1"/>
    <col min="5380" max="5384" width="6.7109375" style="1"/>
    <col min="5385" max="5385" width="11.28515625" style="1" customWidth="1"/>
    <col min="5386" max="5629" width="6.7109375" style="1"/>
    <col min="5630" max="5632" width="6.7109375" style="1" customWidth="1"/>
    <col min="5633" max="5633" width="11.42578125" style="1" customWidth="1"/>
    <col min="5634" max="5634" width="6.7109375" style="1" customWidth="1"/>
    <col min="5635" max="5635" width="5.28515625" style="1" customWidth="1"/>
    <col min="5636" max="5640" width="6.7109375" style="1"/>
    <col min="5641" max="5641" width="11.28515625" style="1" customWidth="1"/>
    <col min="5642" max="5885" width="6.7109375" style="1"/>
    <col min="5886" max="5888" width="6.7109375" style="1" customWidth="1"/>
    <col min="5889" max="5889" width="11.42578125" style="1" customWidth="1"/>
    <col min="5890" max="5890" width="6.7109375" style="1" customWidth="1"/>
    <col min="5891" max="5891" width="5.28515625" style="1" customWidth="1"/>
    <col min="5892" max="5896" width="6.7109375" style="1"/>
    <col min="5897" max="5897" width="11.28515625" style="1" customWidth="1"/>
    <col min="5898" max="6141" width="6.7109375" style="1"/>
    <col min="6142" max="6144" width="6.7109375" style="1" customWidth="1"/>
    <col min="6145" max="6145" width="11.42578125" style="1" customWidth="1"/>
    <col min="6146" max="6146" width="6.7109375" style="1" customWidth="1"/>
    <col min="6147" max="6147" width="5.28515625" style="1" customWidth="1"/>
    <col min="6148" max="6152" width="6.7109375" style="1"/>
    <col min="6153" max="6153" width="11.28515625" style="1" customWidth="1"/>
    <col min="6154" max="6397" width="6.7109375" style="1"/>
    <col min="6398" max="6400" width="6.7109375" style="1" customWidth="1"/>
    <col min="6401" max="6401" width="11.42578125" style="1" customWidth="1"/>
    <col min="6402" max="6402" width="6.7109375" style="1" customWidth="1"/>
    <col min="6403" max="6403" width="5.28515625" style="1" customWidth="1"/>
    <col min="6404" max="6408" width="6.7109375" style="1"/>
    <col min="6409" max="6409" width="11.28515625" style="1" customWidth="1"/>
    <col min="6410" max="6653" width="6.7109375" style="1"/>
    <col min="6654" max="6656" width="6.7109375" style="1" customWidth="1"/>
    <col min="6657" max="6657" width="11.42578125" style="1" customWidth="1"/>
    <col min="6658" max="6658" width="6.7109375" style="1" customWidth="1"/>
    <col min="6659" max="6659" width="5.28515625" style="1" customWidth="1"/>
    <col min="6660" max="6664" width="6.7109375" style="1"/>
    <col min="6665" max="6665" width="11.28515625" style="1" customWidth="1"/>
    <col min="6666" max="6909" width="6.7109375" style="1"/>
    <col min="6910" max="6912" width="6.7109375" style="1" customWidth="1"/>
    <col min="6913" max="6913" width="11.42578125" style="1" customWidth="1"/>
    <col min="6914" max="6914" width="6.7109375" style="1" customWidth="1"/>
    <col min="6915" max="6915" width="5.28515625" style="1" customWidth="1"/>
    <col min="6916" max="6920" width="6.7109375" style="1"/>
    <col min="6921" max="6921" width="11.28515625" style="1" customWidth="1"/>
    <col min="6922" max="7165" width="6.7109375" style="1"/>
    <col min="7166" max="7168" width="6.7109375" style="1" customWidth="1"/>
    <col min="7169" max="7169" width="11.42578125" style="1" customWidth="1"/>
    <col min="7170" max="7170" width="6.7109375" style="1" customWidth="1"/>
    <col min="7171" max="7171" width="5.28515625" style="1" customWidth="1"/>
    <col min="7172" max="7176" width="6.7109375" style="1"/>
    <col min="7177" max="7177" width="11.28515625" style="1" customWidth="1"/>
    <col min="7178" max="7421" width="6.7109375" style="1"/>
    <col min="7422" max="7424" width="6.7109375" style="1" customWidth="1"/>
    <col min="7425" max="7425" width="11.42578125" style="1" customWidth="1"/>
    <col min="7426" max="7426" width="6.7109375" style="1" customWidth="1"/>
    <col min="7427" max="7427" width="5.28515625" style="1" customWidth="1"/>
    <col min="7428" max="7432" width="6.7109375" style="1"/>
    <col min="7433" max="7433" width="11.28515625" style="1" customWidth="1"/>
    <col min="7434" max="7677" width="6.7109375" style="1"/>
    <col min="7678" max="7680" width="6.7109375" style="1" customWidth="1"/>
    <col min="7681" max="7681" width="11.42578125" style="1" customWidth="1"/>
    <col min="7682" max="7682" width="6.7109375" style="1" customWidth="1"/>
    <col min="7683" max="7683" width="5.28515625" style="1" customWidth="1"/>
    <col min="7684" max="7688" width="6.7109375" style="1"/>
    <col min="7689" max="7689" width="11.28515625" style="1" customWidth="1"/>
    <col min="7690" max="7933" width="6.7109375" style="1"/>
    <col min="7934" max="7936" width="6.7109375" style="1" customWidth="1"/>
    <col min="7937" max="7937" width="11.42578125" style="1" customWidth="1"/>
    <col min="7938" max="7938" width="6.7109375" style="1" customWidth="1"/>
    <col min="7939" max="7939" width="5.28515625" style="1" customWidth="1"/>
    <col min="7940" max="7944" width="6.7109375" style="1"/>
    <col min="7945" max="7945" width="11.28515625" style="1" customWidth="1"/>
    <col min="7946" max="8189" width="6.7109375" style="1"/>
    <col min="8190" max="8192" width="6.7109375" style="1" customWidth="1"/>
    <col min="8193" max="8193" width="11.42578125" style="1" customWidth="1"/>
    <col min="8194" max="8194" width="6.7109375" style="1" customWidth="1"/>
    <col min="8195" max="8195" width="5.28515625" style="1" customWidth="1"/>
    <col min="8196" max="8200" width="6.7109375" style="1"/>
    <col min="8201" max="8201" width="11.28515625" style="1" customWidth="1"/>
    <col min="8202" max="8445" width="6.7109375" style="1"/>
    <col min="8446" max="8448" width="6.7109375" style="1" customWidth="1"/>
    <col min="8449" max="8449" width="11.42578125" style="1" customWidth="1"/>
    <col min="8450" max="8450" width="6.7109375" style="1" customWidth="1"/>
    <col min="8451" max="8451" width="5.28515625" style="1" customWidth="1"/>
    <col min="8452" max="8456" width="6.7109375" style="1"/>
    <col min="8457" max="8457" width="11.28515625" style="1" customWidth="1"/>
    <col min="8458" max="8701" width="6.7109375" style="1"/>
    <col min="8702" max="8704" width="6.7109375" style="1" customWidth="1"/>
    <col min="8705" max="8705" width="11.42578125" style="1" customWidth="1"/>
    <col min="8706" max="8706" width="6.7109375" style="1" customWidth="1"/>
    <col min="8707" max="8707" width="5.28515625" style="1" customWidth="1"/>
    <col min="8708" max="8712" width="6.7109375" style="1"/>
    <col min="8713" max="8713" width="11.28515625" style="1" customWidth="1"/>
    <col min="8714" max="8957" width="6.7109375" style="1"/>
    <col min="8958" max="8960" width="6.7109375" style="1" customWidth="1"/>
    <col min="8961" max="8961" width="11.42578125" style="1" customWidth="1"/>
    <col min="8962" max="8962" width="6.7109375" style="1" customWidth="1"/>
    <col min="8963" max="8963" width="5.28515625" style="1" customWidth="1"/>
    <col min="8964" max="8968" width="6.7109375" style="1"/>
    <col min="8969" max="8969" width="11.28515625" style="1" customWidth="1"/>
    <col min="8970" max="9213" width="6.7109375" style="1"/>
    <col min="9214" max="9216" width="6.7109375" style="1" customWidth="1"/>
    <col min="9217" max="9217" width="11.42578125" style="1" customWidth="1"/>
    <col min="9218" max="9218" width="6.7109375" style="1" customWidth="1"/>
    <col min="9219" max="9219" width="5.28515625" style="1" customWidth="1"/>
    <col min="9220" max="9224" width="6.7109375" style="1"/>
    <col min="9225" max="9225" width="11.28515625" style="1" customWidth="1"/>
    <col min="9226" max="9469" width="6.7109375" style="1"/>
    <col min="9470" max="9472" width="6.7109375" style="1" customWidth="1"/>
    <col min="9473" max="9473" width="11.42578125" style="1" customWidth="1"/>
    <col min="9474" max="9474" width="6.7109375" style="1" customWidth="1"/>
    <col min="9475" max="9475" width="5.28515625" style="1" customWidth="1"/>
    <col min="9476" max="9480" width="6.7109375" style="1"/>
    <col min="9481" max="9481" width="11.28515625" style="1" customWidth="1"/>
    <col min="9482" max="9725" width="6.7109375" style="1"/>
    <col min="9726" max="9728" width="6.7109375" style="1" customWidth="1"/>
    <col min="9729" max="9729" width="11.42578125" style="1" customWidth="1"/>
    <col min="9730" max="9730" width="6.7109375" style="1" customWidth="1"/>
    <col min="9731" max="9731" width="5.28515625" style="1" customWidth="1"/>
    <col min="9732" max="9736" width="6.7109375" style="1"/>
    <col min="9737" max="9737" width="11.28515625" style="1" customWidth="1"/>
    <col min="9738" max="9981" width="6.7109375" style="1"/>
    <col min="9982" max="9984" width="6.7109375" style="1" customWidth="1"/>
    <col min="9985" max="9985" width="11.42578125" style="1" customWidth="1"/>
    <col min="9986" max="9986" width="6.7109375" style="1" customWidth="1"/>
    <col min="9987" max="9987" width="5.28515625" style="1" customWidth="1"/>
    <col min="9988" max="9992" width="6.7109375" style="1"/>
    <col min="9993" max="9993" width="11.28515625" style="1" customWidth="1"/>
    <col min="9994" max="10237" width="6.7109375" style="1"/>
    <col min="10238" max="10240" width="6.7109375" style="1" customWidth="1"/>
    <col min="10241" max="10241" width="11.42578125" style="1" customWidth="1"/>
    <col min="10242" max="10242" width="6.7109375" style="1" customWidth="1"/>
    <col min="10243" max="10243" width="5.28515625" style="1" customWidth="1"/>
    <col min="10244" max="10248" width="6.7109375" style="1"/>
    <col min="10249" max="10249" width="11.28515625" style="1" customWidth="1"/>
    <col min="10250" max="10493" width="6.7109375" style="1"/>
    <col min="10494" max="10496" width="6.7109375" style="1" customWidth="1"/>
    <col min="10497" max="10497" width="11.42578125" style="1" customWidth="1"/>
    <col min="10498" max="10498" width="6.7109375" style="1" customWidth="1"/>
    <col min="10499" max="10499" width="5.28515625" style="1" customWidth="1"/>
    <col min="10500" max="10504" width="6.7109375" style="1"/>
    <col min="10505" max="10505" width="11.28515625" style="1" customWidth="1"/>
    <col min="10506" max="10749" width="6.7109375" style="1"/>
    <col min="10750" max="10752" width="6.7109375" style="1" customWidth="1"/>
    <col min="10753" max="10753" width="11.42578125" style="1" customWidth="1"/>
    <col min="10754" max="10754" width="6.7109375" style="1" customWidth="1"/>
    <col min="10755" max="10755" width="5.28515625" style="1" customWidth="1"/>
    <col min="10756" max="10760" width="6.7109375" style="1"/>
    <col min="10761" max="10761" width="11.28515625" style="1" customWidth="1"/>
    <col min="10762" max="11005" width="6.7109375" style="1"/>
    <col min="11006" max="11008" width="6.7109375" style="1" customWidth="1"/>
    <col min="11009" max="11009" width="11.42578125" style="1" customWidth="1"/>
    <col min="11010" max="11010" width="6.7109375" style="1" customWidth="1"/>
    <col min="11011" max="11011" width="5.28515625" style="1" customWidth="1"/>
    <col min="11012" max="11016" width="6.7109375" style="1"/>
    <col min="11017" max="11017" width="11.28515625" style="1" customWidth="1"/>
    <col min="11018" max="11261" width="6.7109375" style="1"/>
    <col min="11262" max="11264" width="6.7109375" style="1" customWidth="1"/>
    <col min="11265" max="11265" width="11.42578125" style="1" customWidth="1"/>
    <col min="11266" max="11266" width="6.7109375" style="1" customWidth="1"/>
    <col min="11267" max="11267" width="5.28515625" style="1" customWidth="1"/>
    <col min="11268" max="11272" width="6.7109375" style="1"/>
    <col min="11273" max="11273" width="11.28515625" style="1" customWidth="1"/>
    <col min="11274" max="11517" width="6.7109375" style="1"/>
    <col min="11518" max="11520" width="6.7109375" style="1" customWidth="1"/>
    <col min="11521" max="11521" width="11.42578125" style="1" customWidth="1"/>
    <col min="11522" max="11522" width="6.7109375" style="1" customWidth="1"/>
    <col min="11523" max="11523" width="5.28515625" style="1" customWidth="1"/>
    <col min="11524" max="11528" width="6.7109375" style="1"/>
    <col min="11529" max="11529" width="11.28515625" style="1" customWidth="1"/>
    <col min="11530" max="11773" width="6.7109375" style="1"/>
    <col min="11774" max="11776" width="6.7109375" style="1" customWidth="1"/>
    <col min="11777" max="11777" width="11.42578125" style="1" customWidth="1"/>
    <col min="11778" max="11778" width="6.7109375" style="1" customWidth="1"/>
    <col min="11779" max="11779" width="5.28515625" style="1" customWidth="1"/>
    <col min="11780" max="11784" width="6.7109375" style="1"/>
    <col min="11785" max="11785" width="11.28515625" style="1" customWidth="1"/>
    <col min="11786" max="12029" width="6.7109375" style="1"/>
    <col min="12030" max="12032" width="6.7109375" style="1" customWidth="1"/>
    <col min="12033" max="12033" width="11.42578125" style="1" customWidth="1"/>
    <col min="12034" max="12034" width="6.7109375" style="1" customWidth="1"/>
    <col min="12035" max="12035" width="5.28515625" style="1" customWidth="1"/>
    <col min="12036" max="12040" width="6.7109375" style="1"/>
    <col min="12041" max="12041" width="11.28515625" style="1" customWidth="1"/>
    <col min="12042" max="12285" width="6.7109375" style="1"/>
    <col min="12286" max="12288" width="6.7109375" style="1" customWidth="1"/>
    <col min="12289" max="12289" width="11.42578125" style="1" customWidth="1"/>
    <col min="12290" max="12290" width="6.7109375" style="1" customWidth="1"/>
    <col min="12291" max="12291" width="5.28515625" style="1" customWidth="1"/>
    <col min="12292" max="12296" width="6.7109375" style="1"/>
    <col min="12297" max="12297" width="11.28515625" style="1" customWidth="1"/>
    <col min="12298" max="12541" width="6.7109375" style="1"/>
    <col min="12542" max="12544" width="6.7109375" style="1" customWidth="1"/>
    <col min="12545" max="12545" width="11.42578125" style="1" customWidth="1"/>
    <col min="12546" max="12546" width="6.7109375" style="1" customWidth="1"/>
    <col min="12547" max="12547" width="5.28515625" style="1" customWidth="1"/>
    <col min="12548" max="12552" width="6.7109375" style="1"/>
    <col min="12553" max="12553" width="11.28515625" style="1" customWidth="1"/>
    <col min="12554" max="12797" width="6.7109375" style="1"/>
    <col min="12798" max="12800" width="6.7109375" style="1" customWidth="1"/>
    <col min="12801" max="12801" width="11.42578125" style="1" customWidth="1"/>
    <col min="12802" max="12802" width="6.7109375" style="1" customWidth="1"/>
    <col min="12803" max="12803" width="5.28515625" style="1" customWidth="1"/>
    <col min="12804" max="12808" width="6.7109375" style="1"/>
    <col min="12809" max="12809" width="11.28515625" style="1" customWidth="1"/>
    <col min="12810" max="13053" width="6.7109375" style="1"/>
    <col min="13054" max="13056" width="6.7109375" style="1" customWidth="1"/>
    <col min="13057" max="13057" width="11.42578125" style="1" customWidth="1"/>
    <col min="13058" max="13058" width="6.7109375" style="1" customWidth="1"/>
    <col min="13059" max="13059" width="5.28515625" style="1" customWidth="1"/>
    <col min="13060" max="13064" width="6.7109375" style="1"/>
    <col min="13065" max="13065" width="11.28515625" style="1" customWidth="1"/>
    <col min="13066" max="13309" width="6.7109375" style="1"/>
    <col min="13310" max="13312" width="6.7109375" style="1" customWidth="1"/>
    <col min="13313" max="13313" width="11.42578125" style="1" customWidth="1"/>
    <col min="13314" max="13314" width="6.7109375" style="1" customWidth="1"/>
    <col min="13315" max="13315" width="5.28515625" style="1" customWidth="1"/>
    <col min="13316" max="13320" width="6.7109375" style="1"/>
    <col min="13321" max="13321" width="11.28515625" style="1" customWidth="1"/>
    <col min="13322" max="13565" width="6.7109375" style="1"/>
    <col min="13566" max="13568" width="6.7109375" style="1" customWidth="1"/>
    <col min="13569" max="13569" width="11.42578125" style="1" customWidth="1"/>
    <col min="13570" max="13570" width="6.7109375" style="1" customWidth="1"/>
    <col min="13571" max="13571" width="5.28515625" style="1" customWidth="1"/>
    <col min="13572" max="13576" width="6.7109375" style="1"/>
    <col min="13577" max="13577" width="11.28515625" style="1" customWidth="1"/>
    <col min="13578" max="13821" width="6.7109375" style="1"/>
    <col min="13822" max="13824" width="6.7109375" style="1" customWidth="1"/>
    <col min="13825" max="13825" width="11.42578125" style="1" customWidth="1"/>
    <col min="13826" max="13826" width="6.7109375" style="1" customWidth="1"/>
    <col min="13827" max="13827" width="5.28515625" style="1" customWidth="1"/>
    <col min="13828" max="13832" width="6.7109375" style="1"/>
    <col min="13833" max="13833" width="11.28515625" style="1" customWidth="1"/>
    <col min="13834" max="14077" width="6.7109375" style="1"/>
    <col min="14078" max="14080" width="6.7109375" style="1" customWidth="1"/>
    <col min="14081" max="14081" width="11.42578125" style="1" customWidth="1"/>
    <col min="14082" max="14082" width="6.7109375" style="1" customWidth="1"/>
    <col min="14083" max="14083" width="5.28515625" style="1" customWidth="1"/>
    <col min="14084" max="14088" width="6.7109375" style="1"/>
    <col min="14089" max="14089" width="11.28515625" style="1" customWidth="1"/>
    <col min="14090" max="14333" width="6.7109375" style="1"/>
    <col min="14334" max="14336" width="6.7109375" style="1" customWidth="1"/>
    <col min="14337" max="14337" width="11.42578125" style="1" customWidth="1"/>
    <col min="14338" max="14338" width="6.7109375" style="1" customWidth="1"/>
    <col min="14339" max="14339" width="5.28515625" style="1" customWidth="1"/>
    <col min="14340" max="14344" width="6.7109375" style="1"/>
    <col min="14345" max="14345" width="11.28515625" style="1" customWidth="1"/>
    <col min="14346" max="14589" width="6.7109375" style="1"/>
    <col min="14590" max="14592" width="6.7109375" style="1" customWidth="1"/>
    <col min="14593" max="14593" width="11.42578125" style="1" customWidth="1"/>
    <col min="14594" max="14594" width="6.7109375" style="1" customWidth="1"/>
    <col min="14595" max="14595" width="5.28515625" style="1" customWidth="1"/>
    <col min="14596" max="14600" width="6.7109375" style="1"/>
    <col min="14601" max="14601" width="11.28515625" style="1" customWidth="1"/>
    <col min="14602" max="14845" width="6.7109375" style="1"/>
    <col min="14846" max="14848" width="6.7109375" style="1" customWidth="1"/>
    <col min="14849" max="14849" width="11.42578125" style="1" customWidth="1"/>
    <col min="14850" max="14850" width="6.7109375" style="1" customWidth="1"/>
    <col min="14851" max="14851" width="5.28515625" style="1" customWidth="1"/>
    <col min="14852" max="14856" width="6.7109375" style="1"/>
    <col min="14857" max="14857" width="11.28515625" style="1" customWidth="1"/>
    <col min="14858" max="15101" width="6.7109375" style="1"/>
    <col min="15102" max="15104" width="6.7109375" style="1" customWidth="1"/>
    <col min="15105" max="15105" width="11.42578125" style="1" customWidth="1"/>
    <col min="15106" max="15106" width="6.7109375" style="1" customWidth="1"/>
    <col min="15107" max="15107" width="5.28515625" style="1" customWidth="1"/>
    <col min="15108" max="15112" width="6.7109375" style="1"/>
    <col min="15113" max="15113" width="11.28515625" style="1" customWidth="1"/>
    <col min="15114" max="15357" width="6.7109375" style="1"/>
    <col min="15358" max="15360" width="6.7109375" style="1" customWidth="1"/>
    <col min="15361" max="15361" width="11.42578125" style="1" customWidth="1"/>
    <col min="15362" max="15362" width="6.7109375" style="1" customWidth="1"/>
    <col min="15363" max="15363" width="5.28515625" style="1" customWidth="1"/>
    <col min="15364" max="15368" width="6.7109375" style="1"/>
    <col min="15369" max="15369" width="11.28515625" style="1" customWidth="1"/>
    <col min="15370" max="15613" width="6.7109375" style="1"/>
    <col min="15614" max="15616" width="6.7109375" style="1" customWidth="1"/>
    <col min="15617" max="15617" width="11.42578125" style="1" customWidth="1"/>
    <col min="15618" max="15618" width="6.7109375" style="1" customWidth="1"/>
    <col min="15619" max="15619" width="5.28515625" style="1" customWidth="1"/>
    <col min="15620" max="15624" width="6.7109375" style="1"/>
    <col min="15625" max="15625" width="11.28515625" style="1" customWidth="1"/>
    <col min="15626" max="15869" width="6.7109375" style="1"/>
    <col min="15870" max="15872" width="6.7109375" style="1" customWidth="1"/>
    <col min="15873" max="15873" width="11.42578125" style="1" customWidth="1"/>
    <col min="15874" max="15874" width="6.7109375" style="1" customWidth="1"/>
    <col min="15875" max="15875" width="5.28515625" style="1" customWidth="1"/>
    <col min="15876" max="15880" width="6.7109375" style="1"/>
    <col min="15881" max="15881" width="11.28515625" style="1" customWidth="1"/>
    <col min="15882" max="16125" width="6.7109375" style="1"/>
    <col min="16126" max="16128" width="6.7109375" style="1" customWidth="1"/>
    <col min="16129" max="16129" width="11.42578125" style="1" customWidth="1"/>
    <col min="16130" max="16130" width="6.7109375" style="1" customWidth="1"/>
    <col min="16131" max="16131" width="5.28515625" style="1" customWidth="1"/>
    <col min="16132" max="16136" width="6.7109375" style="1"/>
    <col min="16137" max="16137" width="11.28515625" style="1" customWidth="1"/>
    <col min="16138" max="16384" width="6.7109375" style="1"/>
  </cols>
  <sheetData>
    <row r="1" spans="1:9" x14ac:dyDescent="0.2">
      <c r="A1" s="234"/>
      <c r="B1" s="234"/>
      <c r="C1" s="234"/>
      <c r="D1" s="234"/>
      <c r="E1" s="234"/>
      <c r="F1" s="234"/>
      <c r="G1" s="234"/>
      <c r="H1" s="234"/>
      <c r="I1" s="234"/>
    </row>
    <row r="2" spans="1:9" ht="20.100000000000001" customHeight="1" x14ac:dyDescent="0.2">
      <c r="A2" s="235" t="s">
        <v>35</v>
      </c>
      <c r="B2" s="236"/>
      <c r="C2" s="236"/>
      <c r="D2" s="236"/>
      <c r="E2" s="236"/>
      <c r="F2" s="236"/>
      <c r="G2" s="236"/>
      <c r="H2" s="236"/>
      <c r="I2" s="236"/>
    </row>
    <row r="3" spans="1:9" ht="20.100000000000001" customHeight="1" x14ac:dyDescent="0.2">
      <c r="A3" s="235" t="s">
        <v>36</v>
      </c>
      <c r="B3" s="235"/>
      <c r="C3" s="235"/>
      <c r="D3" s="235"/>
      <c r="E3" s="235"/>
      <c r="F3" s="235"/>
      <c r="G3" s="235"/>
      <c r="H3" s="235"/>
      <c r="I3" s="235"/>
    </row>
    <row r="4" spans="1:9" ht="20.100000000000001" customHeight="1" x14ac:dyDescent="0.2">
      <c r="A4" s="232" t="s">
        <v>37</v>
      </c>
      <c r="B4" s="232"/>
      <c r="C4" s="232"/>
      <c r="D4" s="237"/>
      <c r="E4" s="237"/>
      <c r="F4" s="237"/>
      <c r="G4" s="237"/>
      <c r="H4" s="237"/>
      <c r="I4" s="237"/>
    </row>
    <row r="5" spans="1:9" ht="20.100000000000001" customHeight="1" x14ac:dyDescent="0.2">
      <c r="A5" s="232" t="s">
        <v>38</v>
      </c>
      <c r="B5" s="232"/>
      <c r="C5" s="232"/>
      <c r="D5" s="233" t="str">
        <f>IF('Budget Template'!B3="","",UPPER('Budget Template'!B3))</f>
        <v/>
      </c>
      <c r="E5" s="233"/>
      <c r="F5" s="233"/>
      <c r="G5" s="233"/>
      <c r="H5" s="233"/>
      <c r="I5" s="233"/>
    </row>
    <row r="6" spans="1:9" ht="20.100000000000001" customHeight="1" x14ac:dyDescent="0.2">
      <c r="A6" s="232" t="s">
        <v>39</v>
      </c>
      <c r="B6" s="232"/>
      <c r="C6" s="232"/>
      <c r="D6" s="233"/>
      <c r="E6" s="233"/>
      <c r="F6" s="233"/>
      <c r="G6" s="233"/>
      <c r="H6" s="233"/>
      <c r="I6" s="233"/>
    </row>
    <row r="7" spans="1:9" ht="20.100000000000001" customHeight="1" x14ac:dyDescent="0.2">
      <c r="A7" s="232" t="s">
        <v>40</v>
      </c>
      <c r="B7" s="232"/>
      <c r="C7" s="232"/>
      <c r="D7" s="241" t="s">
        <v>678</v>
      </c>
      <c r="E7" s="241"/>
      <c r="F7" s="241"/>
      <c r="G7" s="241"/>
      <c r="H7" s="241"/>
      <c r="I7" s="241"/>
    </row>
    <row r="8" spans="1:9" ht="30" customHeight="1" x14ac:dyDescent="0.2">
      <c r="A8" s="242" t="s">
        <v>41</v>
      </c>
      <c r="B8" s="242"/>
      <c r="C8" s="242"/>
      <c r="D8" s="242"/>
      <c r="E8" s="242"/>
      <c r="F8" s="242"/>
      <c r="G8" s="242"/>
      <c r="H8" s="242"/>
      <c r="I8" s="242"/>
    </row>
    <row r="9" spans="1:9" ht="36" customHeight="1" x14ac:dyDescent="0.2">
      <c r="A9" s="243" t="s">
        <v>42</v>
      </c>
      <c r="B9" s="244"/>
      <c r="C9" s="244"/>
      <c r="D9" s="244"/>
      <c r="E9" s="244"/>
      <c r="F9" s="245"/>
      <c r="G9" s="8" t="s">
        <v>43</v>
      </c>
      <c r="H9" s="8" t="s">
        <v>44</v>
      </c>
      <c r="I9" s="2" t="s">
        <v>45</v>
      </c>
    </row>
    <row r="10" spans="1:9" s="3" customFormat="1" ht="24.95" customHeight="1" x14ac:dyDescent="0.2">
      <c r="A10" s="238" t="s">
        <v>17</v>
      </c>
      <c r="B10" s="239"/>
      <c r="C10" s="239"/>
      <c r="D10" s="239"/>
      <c r="E10" s="239"/>
      <c r="F10" s="240"/>
      <c r="G10" s="19">
        <f>'Budget Template'!D40</f>
        <v>0</v>
      </c>
      <c r="H10" s="19">
        <f>'Budget Template'!I40</f>
        <v>0</v>
      </c>
      <c r="I10" s="20">
        <f t="shared" ref="I10:I27" si="0">SUM(G10:H10)</f>
        <v>0</v>
      </c>
    </row>
    <row r="11" spans="1:9" s="3" customFormat="1" ht="24.95" customHeight="1" x14ac:dyDescent="0.2">
      <c r="A11" s="238" t="s">
        <v>18</v>
      </c>
      <c r="B11" s="239"/>
      <c r="C11" s="239"/>
      <c r="D11" s="239"/>
      <c r="E11" s="239"/>
      <c r="F11" s="240"/>
      <c r="G11" s="19">
        <f>'Budget Template'!D41</f>
        <v>0</v>
      </c>
      <c r="H11" s="19">
        <f>'Budget Template'!I41</f>
        <v>0</v>
      </c>
      <c r="I11" s="20">
        <f t="shared" si="0"/>
        <v>0</v>
      </c>
    </row>
    <row r="12" spans="1:9" s="3" customFormat="1" ht="24.95" customHeight="1" x14ac:dyDescent="0.2">
      <c r="A12" s="238" t="s">
        <v>19</v>
      </c>
      <c r="B12" s="239"/>
      <c r="C12" s="239"/>
      <c r="D12" s="239"/>
      <c r="E12" s="239"/>
      <c r="F12" s="240"/>
      <c r="G12" s="19">
        <f>'Budget Template'!D42</f>
        <v>0</v>
      </c>
      <c r="H12" s="19">
        <f>'Budget Template'!I42</f>
        <v>0</v>
      </c>
      <c r="I12" s="20">
        <f t="shared" si="0"/>
        <v>0</v>
      </c>
    </row>
    <row r="13" spans="1:9" s="3" customFormat="1" ht="24.95" customHeight="1" x14ac:dyDescent="0.2">
      <c r="A13" s="238" t="s">
        <v>20</v>
      </c>
      <c r="B13" s="239"/>
      <c r="C13" s="239"/>
      <c r="D13" s="239"/>
      <c r="E13" s="239"/>
      <c r="F13" s="240"/>
      <c r="G13" s="19">
        <f>'Budget Template'!D43</f>
        <v>0</v>
      </c>
      <c r="H13" s="19">
        <f>'Budget Template'!I43</f>
        <v>0</v>
      </c>
      <c r="I13" s="20">
        <f t="shared" si="0"/>
        <v>0</v>
      </c>
    </row>
    <row r="14" spans="1:9" s="3" customFormat="1" ht="24.95" customHeight="1" x14ac:dyDescent="0.2">
      <c r="A14" s="238" t="s">
        <v>21</v>
      </c>
      <c r="B14" s="239"/>
      <c r="C14" s="239"/>
      <c r="D14" s="239"/>
      <c r="E14" s="239"/>
      <c r="F14" s="240"/>
      <c r="G14" s="19">
        <f>'Budget Template'!D44</f>
        <v>0</v>
      </c>
      <c r="H14" s="19">
        <f>'Budget Template'!I44</f>
        <v>0</v>
      </c>
      <c r="I14" s="20">
        <f t="shared" si="0"/>
        <v>0</v>
      </c>
    </row>
    <row r="15" spans="1:9" s="3" customFormat="1" ht="24.95" customHeight="1" x14ac:dyDescent="0.2">
      <c r="A15" s="238" t="s">
        <v>22</v>
      </c>
      <c r="B15" s="239"/>
      <c r="C15" s="239"/>
      <c r="D15" s="239"/>
      <c r="E15" s="239"/>
      <c r="F15" s="240"/>
      <c r="G15" s="19">
        <f>'Budget Template'!D45</f>
        <v>0</v>
      </c>
      <c r="H15" s="19">
        <f>'Budget Template'!I45</f>
        <v>0</v>
      </c>
      <c r="I15" s="20">
        <f t="shared" si="0"/>
        <v>0</v>
      </c>
    </row>
    <row r="16" spans="1:9" s="3" customFormat="1" ht="24.95" customHeight="1" x14ac:dyDescent="0.2">
      <c r="A16" s="238" t="s">
        <v>58</v>
      </c>
      <c r="B16" s="239"/>
      <c r="C16" s="239"/>
      <c r="D16" s="239"/>
      <c r="E16" s="239"/>
      <c r="F16" s="240"/>
      <c r="G16" s="19">
        <f>'Budget Template'!D46</f>
        <v>0</v>
      </c>
      <c r="H16" s="19">
        <f>'Budget Template'!I46</f>
        <v>0</v>
      </c>
      <c r="I16" s="20">
        <f t="shared" si="0"/>
        <v>0</v>
      </c>
    </row>
    <row r="17" spans="1:10" s="3" customFormat="1" ht="48" customHeight="1" x14ac:dyDescent="0.2">
      <c r="A17" s="249" t="s">
        <v>23</v>
      </c>
      <c r="B17" s="250"/>
      <c r="C17" s="250"/>
      <c r="D17" s="250"/>
      <c r="E17" s="250"/>
      <c r="F17" s="251"/>
      <c r="G17" s="19">
        <f>'Budget Template'!D47</f>
        <v>0</v>
      </c>
      <c r="H17" s="19">
        <f>'Budget Template'!I47</f>
        <v>0</v>
      </c>
      <c r="I17" s="20">
        <f t="shared" si="0"/>
        <v>0</v>
      </c>
    </row>
    <row r="18" spans="1:10" s="3" customFormat="1" ht="24.95" customHeight="1" x14ac:dyDescent="0.2">
      <c r="A18" s="249" t="s">
        <v>46</v>
      </c>
      <c r="B18" s="250"/>
      <c r="C18" s="250"/>
      <c r="D18" s="250"/>
      <c r="E18" s="250"/>
      <c r="F18" s="251"/>
      <c r="G18" s="19">
        <f>'Budget Template'!D48</f>
        <v>0</v>
      </c>
      <c r="H18" s="19">
        <f>'Budget Template'!I48</f>
        <v>0</v>
      </c>
      <c r="I18" s="20">
        <f t="shared" si="0"/>
        <v>0</v>
      </c>
    </row>
    <row r="19" spans="1:10" s="3" customFormat="1" ht="24.95" customHeight="1" x14ac:dyDescent="0.2">
      <c r="A19" s="238" t="s">
        <v>25</v>
      </c>
      <c r="B19" s="239"/>
      <c r="C19" s="239"/>
      <c r="D19" s="239"/>
      <c r="E19" s="239"/>
      <c r="F19" s="240"/>
      <c r="G19" s="19">
        <f>'Budget Template'!D49</f>
        <v>0</v>
      </c>
      <c r="H19" s="19">
        <f>'Budget Template'!I49</f>
        <v>0</v>
      </c>
      <c r="I19" s="20">
        <f t="shared" si="0"/>
        <v>0</v>
      </c>
    </row>
    <row r="20" spans="1:10" s="3" customFormat="1" ht="24.95" customHeight="1" x14ac:dyDescent="0.2">
      <c r="A20" s="238" t="s">
        <v>26</v>
      </c>
      <c r="B20" s="239"/>
      <c r="C20" s="239"/>
      <c r="D20" s="239"/>
      <c r="E20" s="239"/>
      <c r="F20" s="240"/>
      <c r="G20" s="19">
        <f>'Budget Template'!D50</f>
        <v>0</v>
      </c>
      <c r="H20" s="19">
        <f>'Budget Template'!I50</f>
        <v>0</v>
      </c>
      <c r="I20" s="20">
        <f t="shared" si="0"/>
        <v>0</v>
      </c>
    </row>
    <row r="21" spans="1:10" s="3" customFormat="1" ht="24.95" customHeight="1" x14ac:dyDescent="0.2">
      <c r="A21" s="238" t="s">
        <v>57</v>
      </c>
      <c r="B21" s="239"/>
      <c r="C21" s="239"/>
      <c r="D21" s="239"/>
      <c r="E21" s="239"/>
      <c r="F21" s="240"/>
      <c r="G21" s="19">
        <f>'Budget Template'!D51</f>
        <v>0</v>
      </c>
      <c r="H21" s="19">
        <f>'Budget Template'!I51</f>
        <v>0</v>
      </c>
      <c r="I21" s="20">
        <f t="shared" si="0"/>
        <v>0</v>
      </c>
    </row>
    <row r="22" spans="1:10" s="3" customFormat="1" ht="24.95" customHeight="1" x14ac:dyDescent="0.2">
      <c r="A22" s="238" t="s">
        <v>683</v>
      </c>
      <c r="B22" s="239"/>
      <c r="C22" s="239"/>
      <c r="D22" s="239"/>
      <c r="E22" s="239"/>
      <c r="F22" s="240"/>
      <c r="G22" s="19">
        <f>'Budget Template'!D52</f>
        <v>0</v>
      </c>
      <c r="H22" s="19">
        <f>'Budget Template'!I52</f>
        <v>0</v>
      </c>
      <c r="I22" s="20">
        <f t="shared" ref="I22" si="1">SUM(G22:H22)</f>
        <v>0</v>
      </c>
    </row>
    <row r="23" spans="1:10" s="3" customFormat="1" ht="24.95" customHeight="1" x14ac:dyDescent="0.2">
      <c r="A23" s="252" t="s">
        <v>47</v>
      </c>
      <c r="B23" s="253"/>
      <c r="C23" s="253"/>
      <c r="D23" s="253"/>
      <c r="E23" s="253"/>
      <c r="F23" s="254"/>
      <c r="G23" s="19">
        <f>'Budget Template'!D53</f>
        <v>0</v>
      </c>
      <c r="H23" s="19">
        <f>'Budget Template'!I53</f>
        <v>0</v>
      </c>
      <c r="I23" s="20">
        <f t="shared" si="0"/>
        <v>0</v>
      </c>
    </row>
    <row r="24" spans="1:10" s="3" customFormat="1" ht="24.95" customHeight="1" x14ac:dyDescent="0.2">
      <c r="A24" s="238" t="s">
        <v>28</v>
      </c>
      <c r="B24" s="239"/>
      <c r="C24" s="239"/>
      <c r="D24" s="239"/>
      <c r="E24" s="239"/>
      <c r="F24" s="240"/>
      <c r="G24" s="19">
        <f>'Budget Template'!D54</f>
        <v>0</v>
      </c>
      <c r="H24" s="19">
        <f>'Budget Template'!I54</f>
        <v>0</v>
      </c>
      <c r="I24" s="20">
        <f t="shared" si="0"/>
        <v>0</v>
      </c>
    </row>
    <row r="25" spans="1:10" s="3" customFormat="1" ht="24.95" customHeight="1" x14ac:dyDescent="0.2">
      <c r="A25" s="238" t="s">
        <v>34</v>
      </c>
      <c r="B25" s="239"/>
      <c r="C25" s="239"/>
      <c r="D25" s="239"/>
      <c r="E25" s="239"/>
      <c r="F25" s="240"/>
      <c r="G25" s="19">
        <f>'Budget Template'!D55</f>
        <v>0</v>
      </c>
      <c r="H25" s="19">
        <f>'Budget Template'!I55</f>
        <v>0</v>
      </c>
      <c r="I25" s="20">
        <f t="shared" si="0"/>
        <v>0</v>
      </c>
    </row>
    <row r="26" spans="1:10" s="3" customFormat="1" ht="24.95" customHeight="1" x14ac:dyDescent="0.2">
      <c r="A26" s="238" t="s">
        <v>48</v>
      </c>
      <c r="B26" s="239"/>
      <c r="C26" s="239"/>
      <c r="D26" s="239"/>
      <c r="E26" s="239"/>
      <c r="F26" s="240"/>
      <c r="G26" s="19">
        <f>'Budget Template'!D56</f>
        <v>0</v>
      </c>
      <c r="H26" s="19">
        <f>'Budget Template'!I56</f>
        <v>0</v>
      </c>
      <c r="I26" s="20">
        <f t="shared" si="0"/>
        <v>0</v>
      </c>
    </row>
    <row r="27" spans="1:10" s="3" customFormat="1" ht="48" customHeight="1" thickBot="1" x14ac:dyDescent="0.25">
      <c r="A27" s="255" t="s">
        <v>49</v>
      </c>
      <c r="B27" s="256"/>
      <c r="C27" s="256"/>
      <c r="D27" s="256"/>
      <c r="E27" s="256"/>
      <c r="F27" s="257"/>
      <c r="G27" s="19">
        <f>'Budget Template'!D57</f>
        <v>0</v>
      </c>
      <c r="H27" s="19">
        <f>'Budget Template'!I57</f>
        <v>0</v>
      </c>
      <c r="I27" s="21">
        <f t="shared" si="0"/>
        <v>0</v>
      </c>
      <c r="J27" s="4"/>
    </row>
    <row r="28" spans="1:10" s="6" customFormat="1" ht="24.95" customHeight="1" thickTop="1" x14ac:dyDescent="0.2">
      <c r="A28" s="246" t="s">
        <v>50</v>
      </c>
      <c r="B28" s="247"/>
      <c r="C28" s="247"/>
      <c r="D28" s="247"/>
      <c r="E28" s="247"/>
      <c r="F28" s="248"/>
      <c r="G28" s="22">
        <f>SUM(G10:G27)</f>
        <v>0</v>
      </c>
      <c r="H28" s="22">
        <f>SUM(H10:H27)</f>
        <v>0</v>
      </c>
      <c r="I28" s="23">
        <f>SUM(I10:I27)</f>
        <v>0</v>
      </c>
      <c r="J28" s="5"/>
    </row>
    <row r="29" spans="1:10" s="3" customFormat="1" ht="11.25" x14ac:dyDescent="0.2"/>
    <row r="30" spans="1:10" s="3" customFormat="1" ht="11.25" x14ac:dyDescent="0.2"/>
    <row r="31" spans="1:10" s="3" customFormat="1" ht="11.25" x14ac:dyDescent="0.2"/>
    <row r="32" spans="1:10" s="3" customFormat="1" ht="11.25" x14ac:dyDescent="0.2"/>
    <row r="33" s="3" customFormat="1" ht="11.25" x14ac:dyDescent="0.2"/>
    <row r="34" s="3" customFormat="1" ht="11.25" x14ac:dyDescent="0.2"/>
    <row r="35" s="3" customFormat="1" ht="11.25" x14ac:dyDescent="0.2"/>
    <row r="36" s="3" customFormat="1" ht="11.25" x14ac:dyDescent="0.2"/>
    <row r="37" s="3" customFormat="1" ht="11.25" x14ac:dyDescent="0.2"/>
    <row r="38" s="3" customFormat="1" ht="11.25" x14ac:dyDescent="0.2"/>
    <row r="39" s="3" customFormat="1" ht="11.25" x14ac:dyDescent="0.2"/>
    <row r="40" s="3" customFormat="1" ht="11.25" x14ac:dyDescent="0.2"/>
    <row r="41" s="3" customFormat="1" ht="11.25" x14ac:dyDescent="0.2"/>
    <row r="42" s="3" customFormat="1" ht="11.25" x14ac:dyDescent="0.2"/>
    <row r="43" s="3" customFormat="1" ht="11.25" x14ac:dyDescent="0.2"/>
    <row r="44" s="3" customFormat="1" ht="11.25" x14ac:dyDescent="0.2"/>
    <row r="45" s="3" customFormat="1" ht="11.25" x14ac:dyDescent="0.2"/>
    <row r="46" s="3" customFormat="1" ht="11.25" x14ac:dyDescent="0.2"/>
    <row r="47" s="3" customFormat="1" ht="11.25" x14ac:dyDescent="0.2"/>
    <row r="48" s="3" customFormat="1" ht="11.25" x14ac:dyDescent="0.2"/>
  </sheetData>
  <sheetProtection algorithmName="SHA-512" hashValue="IkQBrAtrGKWZ7FKx7cF/2i1YaPRoB1bX/OfkcFbhEy/CWbSJzU/+ShlCg8RL+1R4cRNg7Ch1a+2pfkXCKUgF/A==" saltValue="03hiJVxJrVrgzAFJCP5tKw==" spinCount="100000" sheet="1" objects="1" scenarios="1"/>
  <mergeCells count="32">
    <mergeCell ref="A28:F28"/>
    <mergeCell ref="A16:F16"/>
    <mergeCell ref="A17:F17"/>
    <mergeCell ref="A18:F18"/>
    <mergeCell ref="A19:F19"/>
    <mergeCell ref="A20:F20"/>
    <mergeCell ref="A21:F21"/>
    <mergeCell ref="A23:F23"/>
    <mergeCell ref="A24:F24"/>
    <mergeCell ref="A25:F25"/>
    <mergeCell ref="A26:F26"/>
    <mergeCell ref="A27:F27"/>
    <mergeCell ref="A22:F22"/>
    <mergeCell ref="A15:F15"/>
    <mergeCell ref="A6:C6"/>
    <mergeCell ref="D6:I6"/>
    <mergeCell ref="A7:C7"/>
    <mergeCell ref="D7:I7"/>
    <mergeCell ref="A8:I8"/>
    <mergeCell ref="A9:F9"/>
    <mergeCell ref="A10:F10"/>
    <mergeCell ref="A11:F11"/>
    <mergeCell ref="A12:F12"/>
    <mergeCell ref="A13:F13"/>
    <mergeCell ref="A14:F14"/>
    <mergeCell ref="A5:C5"/>
    <mergeCell ref="D5:I5"/>
    <mergeCell ref="A1:I1"/>
    <mergeCell ref="A2:I2"/>
    <mergeCell ref="A3:I3"/>
    <mergeCell ref="A4:C4"/>
    <mergeCell ref="D4:I4"/>
  </mergeCells>
  <pageMargins left="0.7" right="0.7" top="0.5" bottom="0.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H41"/>
  <sheetViews>
    <sheetView zoomScale="80" zoomScaleNormal="80" workbookViewId="0">
      <selection activeCell="B25" sqref="B25"/>
    </sheetView>
  </sheetViews>
  <sheetFormatPr defaultRowHeight="21.95" customHeight="1" x14ac:dyDescent="0.2"/>
  <cols>
    <col min="1" max="1" width="71.42578125" style="137" customWidth="1"/>
    <col min="2" max="6" width="14.7109375" style="137" customWidth="1"/>
    <col min="7" max="256" width="9.140625" style="137"/>
    <col min="257" max="257" width="71.42578125" style="137" customWidth="1"/>
    <col min="258" max="258" width="12.7109375" style="137" customWidth="1"/>
    <col min="259" max="512" width="9.140625" style="137"/>
    <col min="513" max="513" width="71.42578125" style="137" customWidth="1"/>
    <col min="514" max="514" width="12.7109375" style="137" customWidth="1"/>
    <col min="515" max="768" width="9.140625" style="137"/>
    <col min="769" max="769" width="71.42578125" style="137" customWidth="1"/>
    <col min="770" max="770" width="12.7109375" style="137" customWidth="1"/>
    <col min="771" max="1024" width="9.140625" style="137"/>
    <col min="1025" max="1025" width="71.42578125" style="137" customWidth="1"/>
    <col min="1026" max="1026" width="12.7109375" style="137" customWidth="1"/>
    <col min="1027" max="1280" width="9.140625" style="137"/>
    <col min="1281" max="1281" width="71.42578125" style="137" customWidth="1"/>
    <col min="1282" max="1282" width="12.7109375" style="137" customWidth="1"/>
    <col min="1283" max="1536" width="9.140625" style="137"/>
    <col min="1537" max="1537" width="71.42578125" style="137" customWidth="1"/>
    <col min="1538" max="1538" width="12.7109375" style="137" customWidth="1"/>
    <col min="1539" max="1792" width="9.140625" style="137"/>
    <col min="1793" max="1793" width="71.42578125" style="137" customWidth="1"/>
    <col min="1794" max="1794" width="12.7109375" style="137" customWidth="1"/>
    <col min="1795" max="2048" width="9.140625" style="137"/>
    <col min="2049" max="2049" width="71.42578125" style="137" customWidth="1"/>
    <col min="2050" max="2050" width="12.7109375" style="137" customWidth="1"/>
    <col min="2051" max="2304" width="9.140625" style="137"/>
    <col min="2305" max="2305" width="71.42578125" style="137" customWidth="1"/>
    <col min="2306" max="2306" width="12.7109375" style="137" customWidth="1"/>
    <col min="2307" max="2560" width="9.140625" style="137"/>
    <col min="2561" max="2561" width="71.42578125" style="137" customWidth="1"/>
    <col min="2562" max="2562" width="12.7109375" style="137" customWidth="1"/>
    <col min="2563" max="2816" width="9.140625" style="137"/>
    <col min="2817" max="2817" width="71.42578125" style="137" customWidth="1"/>
    <col min="2818" max="2818" width="12.7109375" style="137" customWidth="1"/>
    <col min="2819" max="3072" width="9.140625" style="137"/>
    <col min="3073" max="3073" width="71.42578125" style="137" customWidth="1"/>
    <col min="3074" max="3074" width="12.7109375" style="137" customWidth="1"/>
    <col min="3075" max="3328" width="9.140625" style="137"/>
    <col min="3329" max="3329" width="71.42578125" style="137" customWidth="1"/>
    <col min="3330" max="3330" width="12.7109375" style="137" customWidth="1"/>
    <col min="3331" max="3584" width="9.140625" style="137"/>
    <col min="3585" max="3585" width="71.42578125" style="137" customWidth="1"/>
    <col min="3586" max="3586" width="12.7109375" style="137" customWidth="1"/>
    <col min="3587" max="3840" width="9.140625" style="137"/>
    <col min="3841" max="3841" width="71.42578125" style="137" customWidth="1"/>
    <col min="3842" max="3842" width="12.7109375" style="137" customWidth="1"/>
    <col min="3843" max="4096" width="9.140625" style="137"/>
    <col min="4097" max="4097" width="71.42578125" style="137" customWidth="1"/>
    <col min="4098" max="4098" width="12.7109375" style="137" customWidth="1"/>
    <col min="4099" max="4352" width="9.140625" style="137"/>
    <col min="4353" max="4353" width="71.42578125" style="137" customWidth="1"/>
    <col min="4354" max="4354" width="12.7109375" style="137" customWidth="1"/>
    <col min="4355" max="4608" width="9.140625" style="137"/>
    <col min="4609" max="4609" width="71.42578125" style="137" customWidth="1"/>
    <col min="4610" max="4610" width="12.7109375" style="137" customWidth="1"/>
    <col min="4611" max="4864" width="9.140625" style="137"/>
    <col min="4865" max="4865" width="71.42578125" style="137" customWidth="1"/>
    <col min="4866" max="4866" width="12.7109375" style="137" customWidth="1"/>
    <col min="4867" max="5120" width="9.140625" style="137"/>
    <col min="5121" max="5121" width="71.42578125" style="137" customWidth="1"/>
    <col min="5122" max="5122" width="12.7109375" style="137" customWidth="1"/>
    <col min="5123" max="5376" width="9.140625" style="137"/>
    <col min="5377" max="5377" width="71.42578125" style="137" customWidth="1"/>
    <col min="5378" max="5378" width="12.7109375" style="137" customWidth="1"/>
    <col min="5379" max="5632" width="9.140625" style="137"/>
    <col min="5633" max="5633" width="71.42578125" style="137" customWidth="1"/>
    <col min="5634" max="5634" width="12.7109375" style="137" customWidth="1"/>
    <col min="5635" max="5888" width="9.140625" style="137"/>
    <col min="5889" max="5889" width="71.42578125" style="137" customWidth="1"/>
    <col min="5890" max="5890" width="12.7109375" style="137" customWidth="1"/>
    <col min="5891" max="6144" width="9.140625" style="137"/>
    <col min="6145" max="6145" width="71.42578125" style="137" customWidth="1"/>
    <col min="6146" max="6146" width="12.7109375" style="137" customWidth="1"/>
    <col min="6147" max="6400" width="9.140625" style="137"/>
    <col min="6401" max="6401" width="71.42578125" style="137" customWidth="1"/>
    <col min="6402" max="6402" width="12.7109375" style="137" customWidth="1"/>
    <col min="6403" max="6656" width="9.140625" style="137"/>
    <col min="6657" max="6657" width="71.42578125" style="137" customWidth="1"/>
    <col min="6658" max="6658" width="12.7109375" style="137" customWidth="1"/>
    <col min="6659" max="6912" width="9.140625" style="137"/>
    <col min="6913" max="6913" width="71.42578125" style="137" customWidth="1"/>
    <col min="6914" max="6914" width="12.7109375" style="137" customWidth="1"/>
    <col min="6915" max="7168" width="9.140625" style="137"/>
    <col min="7169" max="7169" width="71.42578125" style="137" customWidth="1"/>
    <col min="7170" max="7170" width="12.7109375" style="137" customWidth="1"/>
    <col min="7171" max="7424" width="9.140625" style="137"/>
    <col min="7425" max="7425" width="71.42578125" style="137" customWidth="1"/>
    <col min="7426" max="7426" width="12.7109375" style="137" customWidth="1"/>
    <col min="7427" max="7680" width="9.140625" style="137"/>
    <col min="7681" max="7681" width="71.42578125" style="137" customWidth="1"/>
    <col min="7682" max="7682" width="12.7109375" style="137" customWidth="1"/>
    <col min="7683" max="7936" width="9.140625" style="137"/>
    <col min="7937" max="7937" width="71.42578125" style="137" customWidth="1"/>
    <col min="7938" max="7938" width="12.7109375" style="137" customWidth="1"/>
    <col min="7939" max="8192" width="9.140625" style="137"/>
    <col min="8193" max="8193" width="71.42578125" style="137" customWidth="1"/>
    <col min="8194" max="8194" width="12.7109375" style="137" customWidth="1"/>
    <col min="8195" max="8448" width="9.140625" style="137"/>
    <col min="8449" max="8449" width="71.42578125" style="137" customWidth="1"/>
    <col min="8450" max="8450" width="12.7109375" style="137" customWidth="1"/>
    <col min="8451" max="8704" width="9.140625" style="137"/>
    <col min="8705" max="8705" width="71.42578125" style="137" customWidth="1"/>
    <col min="8706" max="8706" width="12.7109375" style="137" customWidth="1"/>
    <col min="8707" max="8960" width="9.140625" style="137"/>
    <col min="8961" max="8961" width="71.42578125" style="137" customWidth="1"/>
    <col min="8962" max="8962" width="12.7109375" style="137" customWidth="1"/>
    <col min="8963" max="9216" width="9.140625" style="137"/>
    <col min="9217" max="9217" width="71.42578125" style="137" customWidth="1"/>
    <col min="9218" max="9218" width="12.7109375" style="137" customWidth="1"/>
    <col min="9219" max="9472" width="9.140625" style="137"/>
    <col min="9473" max="9473" width="71.42578125" style="137" customWidth="1"/>
    <col min="9474" max="9474" width="12.7109375" style="137" customWidth="1"/>
    <col min="9475" max="9728" width="9.140625" style="137"/>
    <col min="9729" max="9729" width="71.42578125" style="137" customWidth="1"/>
    <col min="9730" max="9730" width="12.7109375" style="137" customWidth="1"/>
    <col min="9731" max="9984" width="9.140625" style="137"/>
    <col min="9985" max="9985" width="71.42578125" style="137" customWidth="1"/>
    <col min="9986" max="9986" width="12.7109375" style="137" customWidth="1"/>
    <col min="9987" max="10240" width="9.140625" style="137"/>
    <col min="10241" max="10241" width="71.42578125" style="137" customWidth="1"/>
    <col min="10242" max="10242" width="12.7109375" style="137" customWidth="1"/>
    <col min="10243" max="10496" width="9.140625" style="137"/>
    <col min="10497" max="10497" width="71.42578125" style="137" customWidth="1"/>
    <col min="10498" max="10498" width="12.7109375" style="137" customWidth="1"/>
    <col min="10499" max="10752" width="9.140625" style="137"/>
    <col min="10753" max="10753" width="71.42578125" style="137" customWidth="1"/>
    <col min="10754" max="10754" width="12.7109375" style="137" customWidth="1"/>
    <col min="10755" max="11008" width="9.140625" style="137"/>
    <col min="11009" max="11009" width="71.42578125" style="137" customWidth="1"/>
    <col min="11010" max="11010" width="12.7109375" style="137" customWidth="1"/>
    <col min="11011" max="11264" width="9.140625" style="137"/>
    <col min="11265" max="11265" width="71.42578125" style="137" customWidth="1"/>
    <col min="11266" max="11266" width="12.7109375" style="137" customWidth="1"/>
    <col min="11267" max="11520" width="9.140625" style="137"/>
    <col min="11521" max="11521" width="71.42578125" style="137" customWidth="1"/>
    <col min="11522" max="11522" width="12.7109375" style="137" customWidth="1"/>
    <col min="11523" max="11776" width="9.140625" style="137"/>
    <col min="11777" max="11777" width="71.42578125" style="137" customWidth="1"/>
    <col min="11778" max="11778" width="12.7109375" style="137" customWidth="1"/>
    <col min="11779" max="12032" width="9.140625" style="137"/>
    <col min="12033" max="12033" width="71.42578125" style="137" customWidth="1"/>
    <col min="12034" max="12034" width="12.7109375" style="137" customWidth="1"/>
    <col min="12035" max="12288" width="9.140625" style="137"/>
    <col min="12289" max="12289" width="71.42578125" style="137" customWidth="1"/>
    <col min="12290" max="12290" width="12.7109375" style="137" customWidth="1"/>
    <col min="12291" max="12544" width="9.140625" style="137"/>
    <col min="12545" max="12545" width="71.42578125" style="137" customWidth="1"/>
    <col min="12546" max="12546" width="12.7109375" style="137" customWidth="1"/>
    <col min="12547" max="12800" width="9.140625" style="137"/>
    <col min="12801" max="12801" width="71.42578125" style="137" customWidth="1"/>
    <col min="12802" max="12802" width="12.7109375" style="137" customWidth="1"/>
    <col min="12803" max="13056" width="9.140625" style="137"/>
    <col min="13057" max="13057" width="71.42578125" style="137" customWidth="1"/>
    <col min="13058" max="13058" width="12.7109375" style="137" customWidth="1"/>
    <col min="13059" max="13312" width="9.140625" style="137"/>
    <col min="13313" max="13313" width="71.42578125" style="137" customWidth="1"/>
    <col min="13314" max="13314" width="12.7109375" style="137" customWidth="1"/>
    <col min="13315" max="13568" width="9.140625" style="137"/>
    <col min="13569" max="13569" width="71.42578125" style="137" customWidth="1"/>
    <col min="13570" max="13570" width="12.7109375" style="137" customWidth="1"/>
    <col min="13571" max="13824" width="9.140625" style="137"/>
    <col min="13825" max="13825" width="71.42578125" style="137" customWidth="1"/>
    <col min="13826" max="13826" width="12.7109375" style="137" customWidth="1"/>
    <col min="13827" max="14080" width="9.140625" style="137"/>
    <col min="14081" max="14081" width="71.42578125" style="137" customWidth="1"/>
    <col min="14082" max="14082" width="12.7109375" style="137" customWidth="1"/>
    <col min="14083" max="14336" width="9.140625" style="137"/>
    <col min="14337" max="14337" width="71.42578125" style="137" customWidth="1"/>
    <col min="14338" max="14338" width="12.7109375" style="137" customWidth="1"/>
    <col min="14339" max="14592" width="9.140625" style="137"/>
    <col min="14593" max="14593" width="71.42578125" style="137" customWidth="1"/>
    <col min="14594" max="14594" width="12.7109375" style="137" customWidth="1"/>
    <col min="14595" max="14848" width="9.140625" style="137"/>
    <col min="14849" max="14849" width="71.42578125" style="137" customWidth="1"/>
    <col min="14850" max="14850" width="12.7109375" style="137" customWidth="1"/>
    <col min="14851" max="15104" width="9.140625" style="137"/>
    <col min="15105" max="15105" width="71.42578125" style="137" customWidth="1"/>
    <col min="15106" max="15106" width="12.7109375" style="137" customWidth="1"/>
    <col min="15107" max="15360" width="9.140625" style="137"/>
    <col min="15361" max="15361" width="71.42578125" style="137" customWidth="1"/>
    <col min="15362" max="15362" width="12.7109375" style="137" customWidth="1"/>
    <col min="15363" max="15616" width="9.140625" style="137"/>
    <col min="15617" max="15617" width="71.42578125" style="137" customWidth="1"/>
    <col min="15618" max="15618" width="12.7109375" style="137" customWidth="1"/>
    <col min="15619" max="15872" width="9.140625" style="137"/>
    <col min="15873" max="15873" width="71.42578125" style="137" customWidth="1"/>
    <col min="15874" max="15874" width="12.7109375" style="137" customWidth="1"/>
    <col min="15875" max="16128" width="9.140625" style="137"/>
    <col min="16129" max="16129" width="71.42578125" style="137" customWidth="1"/>
    <col min="16130" max="16130" width="12.7109375" style="137" customWidth="1"/>
    <col min="16131" max="16384" width="9.140625" style="137"/>
  </cols>
  <sheetData>
    <row r="1" spans="1:8" s="126" customFormat="1" ht="15" x14ac:dyDescent="0.2">
      <c r="A1" s="258" t="s">
        <v>51</v>
      </c>
      <c r="B1" s="259"/>
    </row>
    <row r="2" spans="1:8" s="126" customFormat="1" ht="15" x14ac:dyDescent="0.2">
      <c r="A2" s="127"/>
      <c r="B2" s="128"/>
    </row>
    <row r="3" spans="1:8" s="126" customFormat="1" ht="15" x14ac:dyDescent="0.2">
      <c r="A3" s="129" t="s">
        <v>655</v>
      </c>
      <c r="B3" s="130" t="s">
        <v>657</v>
      </c>
      <c r="C3" s="130" t="s">
        <v>656</v>
      </c>
      <c r="D3" s="130" t="s">
        <v>663</v>
      </c>
      <c r="E3" s="130" t="s">
        <v>664</v>
      </c>
      <c r="F3" s="130" t="s">
        <v>665</v>
      </c>
    </row>
    <row r="4" spans="1:8" s="126" customFormat="1" ht="15" x14ac:dyDescent="0.2">
      <c r="A4" s="163"/>
      <c r="B4" s="164">
        <v>0</v>
      </c>
      <c r="C4" s="74">
        <f>IF('Budget Template'!$C$21="",0,ROUND((B4-E4)*(1-'Budget Template'!C$21),))</f>
        <v>0</v>
      </c>
      <c r="D4" s="74">
        <f>B4-C4-E4</f>
        <v>0</v>
      </c>
      <c r="E4" s="164"/>
      <c r="F4" s="74">
        <f>D4+E4</f>
        <v>0</v>
      </c>
      <c r="H4" s="131"/>
    </row>
    <row r="5" spans="1:8" s="126" customFormat="1" ht="15" x14ac:dyDescent="0.2">
      <c r="A5" s="163"/>
      <c r="B5" s="164">
        <v>0</v>
      </c>
      <c r="C5" s="74">
        <f>IF('Budget Template'!$C$21="",0,ROUND((B5-E5)*(1-'Budget Template'!C$21),))</f>
        <v>0</v>
      </c>
      <c r="D5" s="74">
        <f t="shared" ref="D5:D9" si="0">B5-C5-E5</f>
        <v>0</v>
      </c>
      <c r="E5" s="164"/>
      <c r="F5" s="74">
        <f t="shared" ref="F5:F9" si="1">D5+E5</f>
        <v>0</v>
      </c>
    </row>
    <row r="6" spans="1:8" s="126" customFormat="1" ht="15" x14ac:dyDescent="0.2">
      <c r="A6" s="163"/>
      <c r="B6" s="164">
        <v>0</v>
      </c>
      <c r="C6" s="74">
        <f>IF('Budget Template'!$C$21="",0,ROUND((B6-E6)*(1-'Budget Template'!C$21),))</f>
        <v>0</v>
      </c>
      <c r="D6" s="74">
        <f t="shared" si="0"/>
        <v>0</v>
      </c>
      <c r="E6" s="164"/>
      <c r="F6" s="74">
        <f t="shared" si="1"/>
        <v>0</v>
      </c>
    </row>
    <row r="7" spans="1:8" s="126" customFormat="1" ht="15" x14ac:dyDescent="0.2">
      <c r="A7" s="163"/>
      <c r="B7" s="164">
        <v>0</v>
      </c>
      <c r="C7" s="74">
        <f>IF('Budget Template'!$C$21="",0,ROUND((B7-E7)*(1-'Budget Template'!C$21),))</f>
        <v>0</v>
      </c>
      <c r="D7" s="74">
        <f t="shared" si="0"/>
        <v>0</v>
      </c>
      <c r="E7" s="164"/>
      <c r="F7" s="74">
        <f t="shared" si="1"/>
        <v>0</v>
      </c>
    </row>
    <row r="8" spans="1:8" s="126" customFormat="1" ht="15" x14ac:dyDescent="0.2">
      <c r="A8" s="163"/>
      <c r="B8" s="164">
        <v>0</v>
      </c>
      <c r="C8" s="74">
        <f>IF('Budget Template'!$C$21="",0,ROUND((B8-E8)*(1-'Budget Template'!C$21),))</f>
        <v>0</v>
      </c>
      <c r="D8" s="74">
        <f t="shared" si="0"/>
        <v>0</v>
      </c>
      <c r="E8" s="164"/>
      <c r="F8" s="74">
        <f t="shared" si="1"/>
        <v>0</v>
      </c>
    </row>
    <row r="9" spans="1:8" s="126" customFormat="1" ht="15" x14ac:dyDescent="0.2">
      <c r="A9" s="163"/>
      <c r="B9" s="164"/>
      <c r="C9" s="74">
        <f>IF('Budget Template'!$C$21="",0,ROUND((B9-E9)*(1-'Budget Template'!C$21),))</f>
        <v>0</v>
      </c>
      <c r="D9" s="74">
        <f t="shared" si="0"/>
        <v>0</v>
      </c>
      <c r="E9" s="164"/>
      <c r="F9" s="74">
        <f t="shared" si="1"/>
        <v>0</v>
      </c>
    </row>
    <row r="10" spans="1:8" s="126" customFormat="1" ht="15.75" thickBot="1" x14ac:dyDescent="0.25">
      <c r="A10" s="132" t="s">
        <v>52</v>
      </c>
      <c r="B10" s="75">
        <f>SUM(B4:B9)</f>
        <v>0</v>
      </c>
      <c r="C10" s="133">
        <f>SUM(C4:C9)</f>
        <v>0</v>
      </c>
      <c r="D10" s="75">
        <f>SUM(D4:D9)</f>
        <v>0</v>
      </c>
      <c r="E10" s="75">
        <f>SUM(E4:E9)</f>
        <v>0</v>
      </c>
      <c r="F10" s="75">
        <f>SUM(F4:F9)</f>
        <v>0</v>
      </c>
    </row>
    <row r="11" spans="1:8" s="126" customFormat="1" ht="15.75" thickTop="1" x14ac:dyDescent="0.2">
      <c r="A11" s="127"/>
      <c r="B11" s="128"/>
      <c r="C11" s="134"/>
      <c r="D11" s="134"/>
      <c r="E11" s="134"/>
      <c r="F11" s="134"/>
    </row>
    <row r="12" spans="1:8" s="126" customFormat="1" ht="15" x14ac:dyDescent="0.2">
      <c r="A12" s="135"/>
      <c r="B12" s="135"/>
      <c r="C12" s="134"/>
      <c r="D12" s="134"/>
      <c r="E12" s="134"/>
      <c r="F12" s="134"/>
    </row>
    <row r="13" spans="1:8" ht="15" x14ac:dyDescent="0.2">
      <c r="A13" s="129" t="s">
        <v>682</v>
      </c>
      <c r="B13" s="130" t="s">
        <v>657</v>
      </c>
      <c r="C13" s="130" t="s">
        <v>656</v>
      </c>
      <c r="D13" s="130" t="s">
        <v>663</v>
      </c>
      <c r="E13" s="130" t="s">
        <v>664</v>
      </c>
      <c r="F13" s="130" t="s">
        <v>665</v>
      </c>
    </row>
    <row r="14" spans="1:8" ht="15" x14ac:dyDescent="0.2">
      <c r="A14" s="163"/>
      <c r="B14" s="164">
        <v>0</v>
      </c>
      <c r="C14" s="74">
        <f>IF('Budget Template'!$C$21="",0,ROUND((B14-E14)*(1-'Budget Template'!C$21),))</f>
        <v>0</v>
      </c>
      <c r="D14" s="74">
        <f>B14-C14-E14</f>
        <v>0</v>
      </c>
      <c r="E14" s="164"/>
      <c r="F14" s="74">
        <f>D14+E14</f>
        <v>0</v>
      </c>
    </row>
    <row r="15" spans="1:8" ht="15" x14ac:dyDescent="0.2">
      <c r="A15" s="163"/>
      <c r="B15" s="164">
        <v>0</v>
      </c>
      <c r="C15" s="74">
        <f>IF('Budget Template'!$C$21="",0,ROUND((B15-E15)*(1-'Budget Template'!C$21),))</f>
        <v>0</v>
      </c>
      <c r="D15" s="74">
        <f t="shared" ref="D15:D19" si="2">B15-C15-E15</f>
        <v>0</v>
      </c>
      <c r="E15" s="164"/>
      <c r="F15" s="74">
        <f t="shared" ref="F15:F19" si="3">D15+E15</f>
        <v>0</v>
      </c>
    </row>
    <row r="16" spans="1:8" ht="15" x14ac:dyDescent="0.2">
      <c r="A16" s="163"/>
      <c r="B16" s="164">
        <v>0</v>
      </c>
      <c r="C16" s="74">
        <f>IF('Budget Template'!$C$21="",0,ROUND((B16-E16)*(1-'Budget Template'!C$21),))</f>
        <v>0</v>
      </c>
      <c r="D16" s="74">
        <f t="shared" si="2"/>
        <v>0</v>
      </c>
      <c r="E16" s="164"/>
      <c r="F16" s="74">
        <f t="shared" si="3"/>
        <v>0</v>
      </c>
    </row>
    <row r="17" spans="1:6" ht="15" x14ac:dyDescent="0.2">
      <c r="A17" s="163"/>
      <c r="B17" s="164">
        <v>0</v>
      </c>
      <c r="C17" s="74">
        <f>IF('Budget Template'!$C$21="",0,ROUND((B17-E17)*(1-'Budget Template'!C$21),))</f>
        <v>0</v>
      </c>
      <c r="D17" s="74">
        <f t="shared" si="2"/>
        <v>0</v>
      </c>
      <c r="E17" s="164"/>
      <c r="F17" s="74">
        <f t="shared" si="3"/>
        <v>0</v>
      </c>
    </row>
    <row r="18" spans="1:6" ht="15" x14ac:dyDescent="0.2">
      <c r="A18" s="163"/>
      <c r="B18" s="164">
        <v>0</v>
      </c>
      <c r="C18" s="74">
        <f>IF('Budget Template'!$C$21="",0,ROUND((B18-E18)*(1-'Budget Template'!C$21),))</f>
        <v>0</v>
      </c>
      <c r="D18" s="74">
        <f t="shared" si="2"/>
        <v>0</v>
      </c>
      <c r="E18" s="164"/>
      <c r="F18" s="74">
        <f t="shared" si="3"/>
        <v>0</v>
      </c>
    </row>
    <row r="19" spans="1:6" ht="15" x14ac:dyDescent="0.2">
      <c r="A19" s="163"/>
      <c r="B19" s="164">
        <v>0</v>
      </c>
      <c r="C19" s="74">
        <f>IF('Budget Template'!$C$21="",0,ROUND((B19-E19)*(1-'Budget Template'!C$21),))</f>
        <v>0</v>
      </c>
      <c r="D19" s="74">
        <f t="shared" si="2"/>
        <v>0</v>
      </c>
      <c r="E19" s="164"/>
      <c r="F19" s="74">
        <f t="shared" si="3"/>
        <v>0</v>
      </c>
    </row>
    <row r="20" spans="1:6" ht="15.75" thickBot="1" x14ac:dyDescent="0.25">
      <c r="A20" s="132" t="s">
        <v>52</v>
      </c>
      <c r="B20" s="75">
        <f>SUM(B14:B19)</f>
        <v>0</v>
      </c>
      <c r="C20" s="75">
        <f t="shared" ref="C20:F20" si="4">SUM(C14:C19)</f>
        <v>0</v>
      </c>
      <c r="D20" s="75">
        <f t="shared" si="4"/>
        <v>0</v>
      </c>
      <c r="E20" s="75">
        <f t="shared" si="4"/>
        <v>0</v>
      </c>
      <c r="F20" s="75">
        <f t="shared" si="4"/>
        <v>0</v>
      </c>
    </row>
    <row r="21" spans="1:6" ht="15.75" thickTop="1" x14ac:dyDescent="0.2">
      <c r="A21" s="138"/>
      <c r="C21" s="136"/>
      <c r="D21" s="136"/>
      <c r="E21" s="136"/>
      <c r="F21" s="136"/>
    </row>
    <row r="22" spans="1:6" ht="15" x14ac:dyDescent="0.2">
      <c r="A22" s="138"/>
      <c r="C22" s="136"/>
      <c r="D22" s="136"/>
      <c r="E22" s="136"/>
      <c r="F22" s="136"/>
    </row>
    <row r="23" spans="1:6" ht="15" x14ac:dyDescent="0.2">
      <c r="A23" s="129" t="s">
        <v>660</v>
      </c>
      <c r="B23" s="130" t="s">
        <v>657</v>
      </c>
      <c r="C23" s="130" t="s">
        <v>656</v>
      </c>
      <c r="D23" s="130" t="s">
        <v>663</v>
      </c>
      <c r="E23" s="130" t="s">
        <v>664</v>
      </c>
      <c r="F23" s="130" t="s">
        <v>665</v>
      </c>
    </row>
    <row r="24" spans="1:6" ht="15" x14ac:dyDescent="0.2">
      <c r="A24" s="163"/>
      <c r="B24" s="164">
        <v>0</v>
      </c>
      <c r="C24" s="74">
        <f>IF('Budget Template'!$C$21="",0,ROUND((B24-E24)*(1-'Budget Template'!C$21),))</f>
        <v>0</v>
      </c>
      <c r="D24" s="74">
        <f>B24-C24-E24</f>
        <v>0</v>
      </c>
      <c r="E24" s="164"/>
      <c r="F24" s="74">
        <f>D24+E24</f>
        <v>0</v>
      </c>
    </row>
    <row r="25" spans="1:6" ht="15" x14ac:dyDescent="0.2">
      <c r="A25" s="163"/>
      <c r="B25" s="164">
        <v>0</v>
      </c>
      <c r="C25" s="74">
        <f>IF('Budget Template'!$C$21="",0,ROUND((B25-E25)*(1-'Budget Template'!C$21),))</f>
        <v>0</v>
      </c>
      <c r="D25" s="74">
        <f t="shared" ref="D25:D29" si="5">B25-C25-E25</f>
        <v>0</v>
      </c>
      <c r="E25" s="164"/>
      <c r="F25" s="74">
        <f t="shared" ref="F25:F29" si="6">D25+E25</f>
        <v>0</v>
      </c>
    </row>
    <row r="26" spans="1:6" ht="15" x14ac:dyDescent="0.2">
      <c r="A26" s="163"/>
      <c r="B26" s="164">
        <v>0</v>
      </c>
      <c r="C26" s="74">
        <f>IF('Budget Template'!$C$21="",0,ROUND((B26-E26)*(1-'Budget Template'!C$21),))</f>
        <v>0</v>
      </c>
      <c r="D26" s="74">
        <f t="shared" si="5"/>
        <v>0</v>
      </c>
      <c r="E26" s="164"/>
      <c r="F26" s="74">
        <f t="shared" si="6"/>
        <v>0</v>
      </c>
    </row>
    <row r="27" spans="1:6" ht="15" x14ac:dyDescent="0.2">
      <c r="A27" s="163"/>
      <c r="B27" s="164">
        <v>0</v>
      </c>
      <c r="C27" s="74">
        <f>IF('Budget Template'!$C$21="",0,ROUND((B27-E27)*(1-'Budget Template'!C$21),))</f>
        <v>0</v>
      </c>
      <c r="D27" s="74">
        <f t="shared" si="5"/>
        <v>0</v>
      </c>
      <c r="E27" s="164"/>
      <c r="F27" s="74">
        <f t="shared" si="6"/>
        <v>0</v>
      </c>
    </row>
    <row r="28" spans="1:6" ht="15" x14ac:dyDescent="0.2">
      <c r="A28" s="163"/>
      <c r="B28" s="164">
        <v>0</v>
      </c>
      <c r="C28" s="74">
        <f>IF('Budget Template'!$C$21="",0,ROUND((B28-E28)*(1-'Budget Template'!C$21),))</f>
        <v>0</v>
      </c>
      <c r="D28" s="74">
        <f t="shared" si="5"/>
        <v>0</v>
      </c>
      <c r="E28" s="164"/>
      <c r="F28" s="74">
        <f t="shared" si="6"/>
        <v>0</v>
      </c>
    </row>
    <row r="29" spans="1:6" ht="15" x14ac:dyDescent="0.2">
      <c r="A29" s="163"/>
      <c r="B29" s="164">
        <v>0</v>
      </c>
      <c r="C29" s="74">
        <f>IF('Budget Template'!$C$21="",0,ROUND((B29-E29)*(1-'Budget Template'!C$21),))</f>
        <v>0</v>
      </c>
      <c r="D29" s="74">
        <f t="shared" si="5"/>
        <v>0</v>
      </c>
      <c r="E29" s="164"/>
      <c r="F29" s="74">
        <f t="shared" si="6"/>
        <v>0</v>
      </c>
    </row>
    <row r="30" spans="1:6" ht="15.75" thickBot="1" x14ac:dyDescent="0.25">
      <c r="A30" s="132" t="s">
        <v>52</v>
      </c>
      <c r="B30" s="75">
        <f>SUM(B24:B29)</f>
        <v>0</v>
      </c>
      <c r="C30" s="133">
        <f>SUM(C24:C29)</f>
        <v>0</v>
      </c>
      <c r="D30" s="75">
        <f>SUM(D24:D29)</f>
        <v>0</v>
      </c>
      <c r="E30" s="75">
        <f>SUM(E24:E29)</f>
        <v>0</v>
      </c>
      <c r="F30" s="75">
        <f>SUM(F24:F29)</f>
        <v>0</v>
      </c>
    </row>
    <row r="31" spans="1:6" ht="15.75" thickTop="1" x14ac:dyDescent="0.2">
      <c r="A31" s="138"/>
    </row>
    <row r="32" spans="1:6" ht="15" x14ac:dyDescent="0.2">
      <c r="A32" s="215"/>
    </row>
    <row r="33" spans="1:6" ht="15" x14ac:dyDescent="0.2">
      <c r="A33" s="214" t="s">
        <v>53</v>
      </c>
      <c r="B33" s="130" t="s">
        <v>657</v>
      </c>
      <c r="C33" s="130" t="s">
        <v>656</v>
      </c>
      <c r="D33" s="130" t="s">
        <v>663</v>
      </c>
      <c r="E33" s="130" t="s">
        <v>664</v>
      </c>
      <c r="F33" s="130" t="s">
        <v>665</v>
      </c>
    </row>
    <row r="34" spans="1:6" ht="15" x14ac:dyDescent="0.2">
      <c r="A34" s="163"/>
      <c r="B34" s="164">
        <v>0</v>
      </c>
      <c r="C34" s="74">
        <f>IF('Budget Template'!$C$21="",0,ROUND((B34-E34)*(1-'Budget Template'!C$21),))</f>
        <v>0</v>
      </c>
      <c r="D34" s="74">
        <f>B34-C34-E34</f>
        <v>0</v>
      </c>
      <c r="E34" s="164"/>
      <c r="F34" s="74">
        <f>D34+E34</f>
        <v>0</v>
      </c>
    </row>
    <row r="35" spans="1:6" ht="15" x14ac:dyDescent="0.2">
      <c r="A35" s="163"/>
      <c r="B35" s="164">
        <v>0</v>
      </c>
      <c r="C35" s="74">
        <f>IF('Budget Template'!$C$21="",0,ROUND((B35-E35)*(1-'Budget Template'!C$21),))</f>
        <v>0</v>
      </c>
      <c r="D35" s="74">
        <f t="shared" ref="D35:D39" si="7">B35-C35-E35</f>
        <v>0</v>
      </c>
      <c r="E35" s="164"/>
      <c r="F35" s="74">
        <f t="shared" ref="F35:F39" si="8">D35+E35</f>
        <v>0</v>
      </c>
    </row>
    <row r="36" spans="1:6" ht="15" x14ac:dyDescent="0.2">
      <c r="A36" s="163"/>
      <c r="B36" s="164">
        <v>0</v>
      </c>
      <c r="C36" s="74">
        <f>IF('Budget Template'!$C$21="",0,ROUND((B36-E36)*(1-'Budget Template'!C$21),))</f>
        <v>0</v>
      </c>
      <c r="D36" s="74">
        <f t="shared" si="7"/>
        <v>0</v>
      </c>
      <c r="E36" s="164"/>
      <c r="F36" s="74">
        <f t="shared" si="8"/>
        <v>0</v>
      </c>
    </row>
    <row r="37" spans="1:6" ht="15" x14ac:dyDescent="0.2">
      <c r="A37" s="163"/>
      <c r="B37" s="164">
        <v>0</v>
      </c>
      <c r="C37" s="74">
        <f>IF('Budget Template'!$C$21="",0,ROUND((B37-E37)*(1-'Budget Template'!C$21),))</f>
        <v>0</v>
      </c>
      <c r="D37" s="74">
        <f t="shared" si="7"/>
        <v>0</v>
      </c>
      <c r="E37" s="164"/>
      <c r="F37" s="74">
        <f t="shared" si="8"/>
        <v>0</v>
      </c>
    </row>
    <row r="38" spans="1:6" ht="15" x14ac:dyDescent="0.2">
      <c r="A38" s="163"/>
      <c r="B38" s="164">
        <v>0</v>
      </c>
      <c r="C38" s="74">
        <f>IF('Budget Template'!$C$21="",0,ROUND((B38-E38)*(1-'Budget Template'!C$21),))</f>
        <v>0</v>
      </c>
      <c r="D38" s="74">
        <f t="shared" si="7"/>
        <v>0</v>
      </c>
      <c r="E38" s="164"/>
      <c r="F38" s="74">
        <f t="shared" si="8"/>
        <v>0</v>
      </c>
    </row>
    <row r="39" spans="1:6" ht="15" x14ac:dyDescent="0.2">
      <c r="A39" s="163"/>
      <c r="B39" s="164">
        <v>0</v>
      </c>
      <c r="C39" s="74">
        <f>IF('Budget Template'!$C$21="",0,ROUND((B39-E39)*(1-'Budget Template'!C$21),))</f>
        <v>0</v>
      </c>
      <c r="D39" s="74">
        <f t="shared" si="7"/>
        <v>0</v>
      </c>
      <c r="E39" s="164"/>
      <c r="F39" s="74">
        <f t="shared" si="8"/>
        <v>0</v>
      </c>
    </row>
    <row r="40" spans="1:6" ht="15.75" thickBot="1" x14ac:dyDescent="0.25">
      <c r="A40" s="132" t="s">
        <v>52</v>
      </c>
      <c r="B40" s="75">
        <f>SUM(B34:B39)</f>
        <v>0</v>
      </c>
      <c r="C40" s="133">
        <f>SUM(C34:C39)</f>
        <v>0</v>
      </c>
      <c r="D40" s="75">
        <f>SUM(D34:D39)</f>
        <v>0</v>
      </c>
      <c r="E40" s="75">
        <f>SUM(E34:E39)</f>
        <v>0</v>
      </c>
      <c r="F40" s="75">
        <f>SUM(F34:F39)</f>
        <v>0</v>
      </c>
    </row>
    <row r="41" spans="1:6" ht="15.75" thickTop="1" x14ac:dyDescent="0.2"/>
  </sheetData>
  <sheetProtection algorithmName="SHA-512" hashValue="5SaReF65Psca885nbHsK0W66bMIsoxOjDQantqfryXKHi0iqba9KIxWD204FT1MtrFaK6LPgjGPCpHul7j3BDg==" saltValue="uasDE7BkrgJcQZCW21fPrw==" spinCount="100000" sheet="1" objects="1" scenarios="1"/>
  <mergeCells count="1">
    <mergeCell ref="A1:B1"/>
  </mergeCells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FFFF00"/>
  </sheetPr>
  <dimension ref="A1:N59"/>
  <sheetViews>
    <sheetView topLeftCell="A22" workbookViewId="0">
      <selection activeCell="D42" sqref="D42:F47"/>
    </sheetView>
  </sheetViews>
  <sheetFormatPr defaultColWidth="9.140625" defaultRowHeight="12.75" x14ac:dyDescent="0.2"/>
  <cols>
    <col min="1" max="1" width="52.7109375" style="38" customWidth="1"/>
    <col min="2" max="3" width="16.7109375" style="38" customWidth="1"/>
    <col min="4" max="4" width="25.7109375" style="38" customWidth="1"/>
    <col min="5" max="22" width="16.7109375" style="38" customWidth="1"/>
    <col min="23" max="16384" width="9.140625" style="38"/>
  </cols>
  <sheetData>
    <row r="1" spans="1:7" ht="13.5" thickBot="1" x14ac:dyDescent="0.25"/>
    <row r="2" spans="1:7" ht="14.25" thickTop="1" thickBot="1" x14ac:dyDescent="0.25">
      <c r="A2" s="278" t="s">
        <v>648</v>
      </c>
      <c r="B2" s="279"/>
      <c r="D2" s="275" t="s">
        <v>651</v>
      </c>
      <c r="E2" s="276"/>
      <c r="F2" s="277"/>
    </row>
    <row r="3" spans="1:7" ht="13.5" thickTop="1" x14ac:dyDescent="0.2">
      <c r="A3" s="58"/>
      <c r="B3" s="79"/>
      <c r="D3" s="60"/>
      <c r="E3" s="61"/>
      <c r="F3" s="62"/>
    </row>
    <row r="4" spans="1:7" x14ac:dyDescent="0.2">
      <c r="A4" s="80" t="s">
        <v>630</v>
      </c>
      <c r="B4" s="46"/>
      <c r="C4" s="40"/>
      <c r="D4" s="54" t="s">
        <v>643</v>
      </c>
      <c r="E4" s="55"/>
      <c r="F4" s="76">
        <v>5</v>
      </c>
      <c r="G4" s="7" t="str">
        <f>IF(F4=""," &lt;&lt; Enter the project number of months for construction","")</f>
        <v/>
      </c>
    </row>
    <row r="5" spans="1:7" x14ac:dyDescent="0.2">
      <c r="A5" s="44" t="s">
        <v>622</v>
      </c>
      <c r="B5" s="81"/>
      <c r="C5" s="40"/>
      <c r="D5" s="52"/>
      <c r="E5" s="49"/>
      <c r="F5" s="45"/>
    </row>
    <row r="6" spans="1:7" x14ac:dyDescent="0.2">
      <c r="A6" s="44" t="s">
        <v>623</v>
      </c>
      <c r="B6" s="81"/>
      <c r="C6" s="40"/>
      <c r="D6" s="51" t="s">
        <v>644</v>
      </c>
      <c r="E6" s="49"/>
      <c r="F6" s="77" t="s">
        <v>699</v>
      </c>
      <c r="G6" s="7" t="str">
        <f>IF(F6=""," &lt;&lt; Select whether inspection needed full- or part-time","")</f>
        <v/>
      </c>
    </row>
    <row r="7" spans="1:7" x14ac:dyDescent="0.2">
      <c r="A7" s="44" t="s">
        <v>624</v>
      </c>
      <c r="B7" s="81">
        <v>500500</v>
      </c>
      <c r="C7" s="40"/>
      <c r="D7" s="52" t="s">
        <v>645</v>
      </c>
      <c r="E7" s="49"/>
      <c r="F7" s="46">
        <f>IF(F6="Full-Time",10000,IF(F6="Part-Time",6500,0))</f>
        <v>10000</v>
      </c>
    </row>
    <row r="8" spans="1:7" x14ac:dyDescent="0.2">
      <c r="A8" s="44" t="s">
        <v>625</v>
      </c>
      <c r="B8" s="81"/>
      <c r="C8" s="40"/>
      <c r="D8" s="52"/>
      <c r="E8" s="49"/>
      <c r="F8" s="45"/>
    </row>
    <row r="9" spans="1:7" x14ac:dyDescent="0.2">
      <c r="A9" s="44" t="s">
        <v>667</v>
      </c>
      <c r="B9" s="81"/>
      <c r="C9" s="40"/>
      <c r="D9" s="52" t="s">
        <v>647</v>
      </c>
      <c r="E9" s="49"/>
      <c r="F9" s="46">
        <f>F4*F7</f>
        <v>50000</v>
      </c>
    </row>
    <row r="10" spans="1:7" x14ac:dyDescent="0.2">
      <c r="A10" s="44" t="s">
        <v>667</v>
      </c>
      <c r="B10" s="81"/>
      <c r="C10" s="40"/>
      <c r="D10" s="52"/>
      <c r="E10" s="49"/>
      <c r="F10" s="45"/>
    </row>
    <row r="11" spans="1:7" x14ac:dyDescent="0.2">
      <c r="A11" s="44" t="s">
        <v>667</v>
      </c>
      <c r="B11" s="81"/>
      <c r="C11" s="40"/>
      <c r="D11" s="52" t="s">
        <v>646</v>
      </c>
      <c r="E11" s="49"/>
      <c r="F11" s="46">
        <f>'Budget Template'!C41</f>
        <v>0</v>
      </c>
    </row>
    <row r="12" spans="1:7" x14ac:dyDescent="0.2">
      <c r="A12" s="82" t="s">
        <v>632</v>
      </c>
      <c r="B12" s="46">
        <f>SUM(B5:B11)</f>
        <v>500500</v>
      </c>
      <c r="C12" s="40"/>
      <c r="D12" s="52"/>
      <c r="E12" s="49"/>
      <c r="F12" s="45"/>
    </row>
    <row r="13" spans="1:7" ht="13.5" thickBot="1" x14ac:dyDescent="0.25">
      <c r="A13" s="44"/>
      <c r="B13" s="46"/>
      <c r="C13" s="40"/>
      <c r="D13" s="53" t="s">
        <v>642</v>
      </c>
      <c r="E13" s="50"/>
      <c r="F13" s="48">
        <f>F11-F9</f>
        <v>-50000</v>
      </c>
    </row>
    <row r="14" spans="1:7" ht="13.5" thickTop="1" x14ac:dyDescent="0.2">
      <c r="A14" s="80" t="s">
        <v>631</v>
      </c>
      <c r="B14" s="46"/>
      <c r="C14" s="40"/>
    </row>
    <row r="15" spans="1:7" x14ac:dyDescent="0.2">
      <c r="A15" s="44" t="s">
        <v>626</v>
      </c>
      <c r="B15" s="81"/>
      <c r="C15" s="40"/>
    </row>
    <row r="16" spans="1:7" ht="13.5" thickBot="1" x14ac:dyDescent="0.25">
      <c r="A16" s="44" t="s">
        <v>627</v>
      </c>
      <c r="B16" s="81"/>
      <c r="C16" s="40"/>
    </row>
    <row r="17" spans="1:6" ht="13.5" thickBot="1" x14ac:dyDescent="0.25">
      <c r="A17" s="44" t="s">
        <v>628</v>
      </c>
      <c r="B17" s="81"/>
      <c r="C17" s="40"/>
      <c r="D17" s="264" t="s">
        <v>689</v>
      </c>
      <c r="E17" s="265"/>
      <c r="F17" s="266"/>
    </row>
    <row r="18" spans="1:6" ht="13.5" thickTop="1" x14ac:dyDescent="0.2">
      <c r="A18" s="44" t="s">
        <v>629</v>
      </c>
      <c r="B18" s="81"/>
      <c r="C18" s="40"/>
      <c r="D18" s="267"/>
      <c r="E18" s="268"/>
      <c r="F18" s="211"/>
    </row>
    <row r="19" spans="1:6" x14ac:dyDescent="0.2">
      <c r="A19" s="44" t="s">
        <v>668</v>
      </c>
      <c r="B19" s="81"/>
      <c r="C19" s="40"/>
      <c r="D19" s="269" t="s">
        <v>640</v>
      </c>
      <c r="E19" s="270"/>
      <c r="F19" s="212">
        <f>B32</f>
        <v>42786.99</v>
      </c>
    </row>
    <row r="20" spans="1:6" x14ac:dyDescent="0.2">
      <c r="A20" s="44" t="s">
        <v>668</v>
      </c>
      <c r="B20" s="81"/>
      <c r="C20" s="40"/>
      <c r="D20" s="269" t="s">
        <v>641</v>
      </c>
      <c r="E20" s="270"/>
      <c r="F20" s="212">
        <f>B34</f>
        <v>0</v>
      </c>
    </row>
    <row r="21" spans="1:6" x14ac:dyDescent="0.2">
      <c r="A21" s="44" t="s">
        <v>668</v>
      </c>
      <c r="B21" s="81"/>
      <c r="C21" s="40"/>
      <c r="D21" s="269" t="s">
        <v>690</v>
      </c>
      <c r="E21" s="270"/>
      <c r="F21" s="212">
        <f>F19-F20</f>
        <v>42786.99</v>
      </c>
    </row>
    <row r="22" spans="1:6" x14ac:dyDescent="0.2">
      <c r="A22" s="44" t="s">
        <v>668</v>
      </c>
      <c r="B22" s="81"/>
      <c r="C22" s="40"/>
      <c r="D22" s="271"/>
      <c r="E22" s="272"/>
      <c r="F22" s="212"/>
    </row>
    <row r="23" spans="1:6" x14ac:dyDescent="0.2">
      <c r="A23" s="82" t="s">
        <v>633</v>
      </c>
      <c r="B23" s="46">
        <f>SUM(B15:B22)</f>
        <v>0</v>
      </c>
      <c r="C23" s="40"/>
      <c r="D23" s="269" t="s">
        <v>691</v>
      </c>
      <c r="E23" s="270"/>
      <c r="F23" s="212">
        <f>F9</f>
        <v>50000</v>
      </c>
    </row>
    <row r="24" spans="1:6" x14ac:dyDescent="0.2">
      <c r="A24" s="83"/>
      <c r="B24" s="84"/>
      <c r="C24" s="40"/>
      <c r="D24" s="269" t="s">
        <v>646</v>
      </c>
      <c r="E24" s="270"/>
      <c r="F24" s="212">
        <f>F11</f>
        <v>0</v>
      </c>
    </row>
    <row r="25" spans="1:6" ht="13.5" thickBot="1" x14ac:dyDescent="0.25">
      <c r="A25" s="85" t="s">
        <v>650</v>
      </c>
      <c r="B25" s="86">
        <f>B12+B23</f>
        <v>500500</v>
      </c>
      <c r="C25" s="40"/>
      <c r="D25" s="269" t="s">
        <v>692</v>
      </c>
      <c r="E25" s="270"/>
      <c r="F25" s="212">
        <f>F23-F24</f>
        <v>50000</v>
      </c>
    </row>
    <row r="26" spans="1:6" ht="13.5" thickTop="1" x14ac:dyDescent="0.2">
      <c r="B26" s="40"/>
      <c r="C26" s="40"/>
      <c r="D26" s="271"/>
      <c r="E26" s="272"/>
      <c r="F26" s="212"/>
    </row>
    <row r="27" spans="1:6" x14ac:dyDescent="0.2">
      <c r="B27" s="40"/>
      <c r="C27" s="40"/>
      <c r="D27" s="269" t="s">
        <v>693</v>
      </c>
      <c r="E27" s="270"/>
      <c r="F27" s="212">
        <f>F19+F23</f>
        <v>92786.989999999991</v>
      </c>
    </row>
    <row r="28" spans="1:6" x14ac:dyDescent="0.2">
      <c r="B28" s="40"/>
      <c r="C28" s="40"/>
      <c r="D28" s="269" t="s">
        <v>694</v>
      </c>
      <c r="E28" s="270"/>
      <c r="F28" s="212">
        <f>F20+F24</f>
        <v>0</v>
      </c>
    </row>
    <row r="29" spans="1:6" ht="13.5" thickBot="1" x14ac:dyDescent="0.25">
      <c r="B29" s="40"/>
      <c r="C29" s="40"/>
      <c r="D29" s="273" t="s">
        <v>695</v>
      </c>
      <c r="E29" s="274"/>
      <c r="F29" s="213">
        <f>F27-F28</f>
        <v>92786.989999999991</v>
      </c>
    </row>
    <row r="30" spans="1:6" ht="14.25" thickTop="1" thickBot="1" x14ac:dyDescent="0.25">
      <c r="A30" s="278" t="s">
        <v>652</v>
      </c>
      <c r="B30" s="279"/>
      <c r="C30" s="40"/>
    </row>
    <row r="31" spans="1:6" ht="13.5" thickTop="1" x14ac:dyDescent="0.2">
      <c r="A31" s="58"/>
      <c r="B31" s="59"/>
      <c r="C31" s="40"/>
    </row>
    <row r="32" spans="1:6" x14ac:dyDescent="0.2">
      <c r="A32" s="44" t="s">
        <v>640</v>
      </c>
      <c r="B32" s="56">
        <f>F59</f>
        <v>42786.99</v>
      </c>
      <c r="C32" s="41"/>
    </row>
    <row r="33" spans="1:14" x14ac:dyDescent="0.2">
      <c r="A33" s="44"/>
      <c r="B33" s="56"/>
      <c r="C33" s="41"/>
    </row>
    <row r="34" spans="1:14" x14ac:dyDescent="0.2">
      <c r="A34" s="44" t="s">
        <v>641</v>
      </c>
      <c r="B34" s="56">
        <f>'Budget Template'!C42</f>
        <v>0</v>
      </c>
      <c r="C34" s="41"/>
    </row>
    <row r="35" spans="1:14" x14ac:dyDescent="0.2">
      <c r="A35" s="44"/>
      <c r="B35" s="56"/>
      <c r="C35" s="41"/>
    </row>
    <row r="36" spans="1:14" ht="13.5" thickBot="1" x14ac:dyDescent="0.25">
      <c r="A36" s="47" t="s">
        <v>642</v>
      </c>
      <c r="B36" s="57">
        <f>B34-B32</f>
        <v>-42786.99</v>
      </c>
      <c r="C36" s="41"/>
    </row>
    <row r="37" spans="1:14" ht="13.5" thickTop="1" x14ac:dyDescent="0.2">
      <c r="B37" s="41"/>
      <c r="C37" s="41"/>
    </row>
    <row r="38" spans="1:14" x14ac:dyDescent="0.2">
      <c r="B38" s="41"/>
      <c r="C38" s="41"/>
      <c r="D38" s="41"/>
    </row>
    <row r="39" spans="1:14" x14ac:dyDescent="0.2">
      <c r="B39" s="41"/>
      <c r="C39" s="41"/>
      <c r="D39" s="41"/>
    </row>
    <row r="40" spans="1:14" x14ac:dyDescent="0.2">
      <c r="B40" s="41"/>
      <c r="C40" s="41"/>
      <c r="D40" s="41"/>
    </row>
    <row r="41" spans="1:14" x14ac:dyDescent="0.2">
      <c r="B41" s="41"/>
      <c r="C41" s="41"/>
      <c r="D41" s="41"/>
      <c r="H41" s="262" t="s">
        <v>654</v>
      </c>
      <c r="I41" s="263"/>
    </row>
    <row r="42" spans="1:14" x14ac:dyDescent="0.2">
      <c r="A42" s="71" t="s">
        <v>649</v>
      </c>
      <c r="B42" s="72" t="str">
        <f>IF(B25=0,"N/A",IF(B12&gt;B23,"Type 1","Type 2"))</f>
        <v>Type 1</v>
      </c>
      <c r="C42" s="72" t="s">
        <v>635</v>
      </c>
      <c r="D42" s="72" t="s">
        <v>634</v>
      </c>
      <c r="E42" s="72" t="s">
        <v>636</v>
      </c>
      <c r="F42" s="72" t="s">
        <v>637</v>
      </c>
      <c r="G42" s="39"/>
      <c r="H42" s="72" t="s">
        <v>638</v>
      </c>
      <c r="I42" s="72" t="s">
        <v>639</v>
      </c>
      <c r="J42" s="39"/>
      <c r="K42" s="39"/>
      <c r="L42" s="39"/>
      <c r="M42" s="39"/>
      <c r="N42" s="39"/>
    </row>
    <row r="43" spans="1:14" x14ac:dyDescent="0.2">
      <c r="A43" s="66">
        <v>50000</v>
      </c>
      <c r="B43" s="67">
        <f t="shared" ref="B43:B57" si="0">IF(B$42="Type 1",H43,IF(B$42="Type 2",I43,0))</f>
        <v>12.13</v>
      </c>
      <c r="C43" s="43"/>
      <c r="D43" s="73">
        <f>IF(B$25&lt;=A43,B$25,0)</f>
        <v>0</v>
      </c>
      <c r="E43" s="68">
        <f t="shared" ref="E43:E53" si="1">IF(D43=0,0,(+B42-((C43/100000)*(D43-A42))))</f>
        <v>0</v>
      </c>
      <c r="F43" s="63">
        <f t="shared" ref="F43:F57" si="2">IF(E43&gt;0,ROUND(D43*(E43/100),2),0)</f>
        <v>0</v>
      </c>
      <c r="H43" s="67">
        <v>12.13</v>
      </c>
      <c r="I43" s="67">
        <v>9.65</v>
      </c>
    </row>
    <row r="44" spans="1:14" x14ac:dyDescent="0.2">
      <c r="A44" s="66">
        <v>100000</v>
      </c>
      <c r="B44" s="67">
        <f t="shared" si="0"/>
        <v>10.92</v>
      </c>
      <c r="C44" s="67">
        <f t="shared" ref="C44:C57" si="3">B43-B44</f>
        <v>1.2100000000000009</v>
      </c>
      <c r="D44" s="73">
        <f>IF(AND(B$25&gt;A43,B$25&lt;=A44),B$25,0)</f>
        <v>0</v>
      </c>
      <c r="E44" s="68">
        <f t="shared" si="1"/>
        <v>0</v>
      </c>
      <c r="F44" s="63">
        <f t="shared" si="2"/>
        <v>0</v>
      </c>
      <c r="H44" s="67">
        <v>10.92</v>
      </c>
      <c r="I44" s="67">
        <v>8.75</v>
      </c>
    </row>
    <row r="45" spans="1:14" x14ac:dyDescent="0.2">
      <c r="A45" s="66">
        <v>200000</v>
      </c>
      <c r="B45" s="67">
        <f t="shared" si="0"/>
        <v>9.83</v>
      </c>
      <c r="C45" s="67">
        <f t="shared" si="3"/>
        <v>1.0899999999999999</v>
      </c>
      <c r="D45" s="73">
        <f t="shared" ref="D45:D57" si="4">IF(AND(B$25&gt;A44,B$25&lt;=A45),B$25,0)</f>
        <v>0</v>
      </c>
      <c r="E45" s="68">
        <f t="shared" si="1"/>
        <v>0</v>
      </c>
      <c r="F45" s="63">
        <f t="shared" si="2"/>
        <v>0</v>
      </c>
      <c r="H45" s="67">
        <v>9.83</v>
      </c>
      <c r="I45" s="67">
        <v>7.93</v>
      </c>
    </row>
    <row r="46" spans="1:14" x14ac:dyDescent="0.2">
      <c r="A46" s="66">
        <v>300000</v>
      </c>
      <c r="B46" s="67">
        <f t="shared" si="0"/>
        <v>9.24</v>
      </c>
      <c r="C46" s="67">
        <f t="shared" si="3"/>
        <v>0.58999999999999986</v>
      </c>
      <c r="D46" s="73">
        <f t="shared" si="4"/>
        <v>0</v>
      </c>
      <c r="E46" s="68">
        <f t="shared" si="1"/>
        <v>0</v>
      </c>
      <c r="F46" s="63">
        <f t="shared" si="2"/>
        <v>0</v>
      </c>
      <c r="H46" s="67">
        <v>9.24</v>
      </c>
      <c r="I46" s="67">
        <v>7.49</v>
      </c>
    </row>
    <row r="47" spans="1:14" x14ac:dyDescent="0.2">
      <c r="A47" s="66">
        <v>400000</v>
      </c>
      <c r="B47" s="67">
        <f t="shared" si="0"/>
        <v>8.85</v>
      </c>
      <c r="C47" s="67">
        <f t="shared" si="3"/>
        <v>0.39000000000000057</v>
      </c>
      <c r="D47" s="73">
        <f t="shared" si="4"/>
        <v>0</v>
      </c>
      <c r="E47" s="68">
        <f t="shared" si="1"/>
        <v>0</v>
      </c>
      <c r="F47" s="63">
        <f t="shared" si="2"/>
        <v>0</v>
      </c>
      <c r="H47" s="67">
        <v>8.85</v>
      </c>
      <c r="I47" s="67">
        <v>7.19</v>
      </c>
    </row>
    <row r="48" spans="1:14" x14ac:dyDescent="0.2">
      <c r="A48" s="66">
        <v>500000</v>
      </c>
      <c r="B48" s="67">
        <f t="shared" si="0"/>
        <v>8.5500000000000007</v>
      </c>
      <c r="C48" s="67">
        <f t="shared" si="3"/>
        <v>0.29999999999999893</v>
      </c>
      <c r="D48" s="73">
        <f t="shared" si="4"/>
        <v>0</v>
      </c>
      <c r="E48" s="68">
        <f t="shared" si="1"/>
        <v>0</v>
      </c>
      <c r="F48" s="63">
        <f t="shared" si="2"/>
        <v>0</v>
      </c>
      <c r="H48" s="67">
        <v>8.5500000000000007</v>
      </c>
      <c r="I48" s="67">
        <v>6.97</v>
      </c>
    </row>
    <row r="49" spans="1:9" x14ac:dyDescent="0.2">
      <c r="A49" s="66">
        <v>600000</v>
      </c>
      <c r="B49" s="67">
        <f t="shared" si="0"/>
        <v>8.32</v>
      </c>
      <c r="C49" s="67">
        <f t="shared" si="3"/>
        <v>0.23000000000000043</v>
      </c>
      <c r="D49" s="73">
        <f t="shared" si="4"/>
        <v>500500</v>
      </c>
      <c r="E49" s="68">
        <f t="shared" si="1"/>
        <v>8.5488499999999998</v>
      </c>
      <c r="F49" s="63">
        <f t="shared" si="2"/>
        <v>42786.99</v>
      </c>
      <c r="H49" s="67">
        <v>8.32</v>
      </c>
      <c r="I49" s="67">
        <v>6.79</v>
      </c>
    </row>
    <row r="50" spans="1:9" x14ac:dyDescent="0.2">
      <c r="A50" s="66">
        <v>700000</v>
      </c>
      <c r="B50" s="67">
        <f t="shared" si="0"/>
        <v>8.1300000000000008</v>
      </c>
      <c r="C50" s="67">
        <f t="shared" si="3"/>
        <v>0.1899999999999995</v>
      </c>
      <c r="D50" s="73">
        <f t="shared" si="4"/>
        <v>0</v>
      </c>
      <c r="E50" s="68">
        <f t="shared" si="1"/>
        <v>0</v>
      </c>
      <c r="F50" s="63">
        <f t="shared" si="2"/>
        <v>0</v>
      </c>
      <c r="H50" s="67">
        <v>8.1300000000000008</v>
      </c>
      <c r="I50" s="67">
        <v>6.64</v>
      </c>
    </row>
    <row r="51" spans="1:9" x14ac:dyDescent="0.2">
      <c r="A51" s="66">
        <v>800000</v>
      </c>
      <c r="B51" s="67">
        <f t="shared" si="0"/>
        <v>7.96</v>
      </c>
      <c r="C51" s="67">
        <f t="shared" si="3"/>
        <v>0.17000000000000082</v>
      </c>
      <c r="D51" s="73">
        <f t="shared" si="4"/>
        <v>0</v>
      </c>
      <c r="E51" s="68">
        <f t="shared" si="1"/>
        <v>0</v>
      </c>
      <c r="F51" s="63">
        <f t="shared" si="2"/>
        <v>0</v>
      </c>
      <c r="H51" s="67">
        <v>7.96</v>
      </c>
      <c r="I51" s="67">
        <v>6.52</v>
      </c>
    </row>
    <row r="52" spans="1:9" x14ac:dyDescent="0.2">
      <c r="A52" s="66">
        <v>900000</v>
      </c>
      <c r="B52" s="67">
        <f t="shared" si="0"/>
        <v>7.82</v>
      </c>
      <c r="C52" s="67">
        <f t="shared" si="3"/>
        <v>0.13999999999999968</v>
      </c>
      <c r="D52" s="73">
        <f t="shared" si="4"/>
        <v>0</v>
      </c>
      <c r="E52" s="68">
        <f t="shared" si="1"/>
        <v>0</v>
      </c>
      <c r="F52" s="63">
        <f t="shared" si="2"/>
        <v>0</v>
      </c>
      <c r="H52" s="67">
        <v>7.82</v>
      </c>
      <c r="I52" s="67">
        <v>6.41</v>
      </c>
    </row>
    <row r="53" spans="1:9" x14ac:dyDescent="0.2">
      <c r="A53" s="66">
        <v>1000000</v>
      </c>
      <c r="B53" s="67">
        <f t="shared" si="0"/>
        <v>7.7</v>
      </c>
      <c r="C53" s="67">
        <f t="shared" si="3"/>
        <v>0.12000000000000011</v>
      </c>
      <c r="D53" s="73">
        <f t="shared" si="4"/>
        <v>0</v>
      </c>
      <c r="E53" s="68">
        <f t="shared" si="1"/>
        <v>0</v>
      </c>
      <c r="F53" s="63">
        <f t="shared" si="2"/>
        <v>0</v>
      </c>
      <c r="H53" s="67">
        <v>7.7</v>
      </c>
      <c r="I53" s="67">
        <v>6.32</v>
      </c>
    </row>
    <row r="54" spans="1:9" x14ac:dyDescent="0.2">
      <c r="A54" s="66">
        <v>2000000</v>
      </c>
      <c r="B54" s="67">
        <f t="shared" si="0"/>
        <v>6.93</v>
      </c>
      <c r="C54" s="67">
        <f t="shared" si="3"/>
        <v>0.77000000000000046</v>
      </c>
      <c r="D54" s="73">
        <f t="shared" si="4"/>
        <v>0</v>
      </c>
      <c r="E54" s="68">
        <f>IF(D54=0,0,(+B53-((C54/1000000)*(D54-A53))))</f>
        <v>0</v>
      </c>
      <c r="F54" s="63">
        <f t="shared" si="2"/>
        <v>0</v>
      </c>
      <c r="H54" s="67">
        <v>6.93</v>
      </c>
      <c r="I54" s="67">
        <v>5.73</v>
      </c>
    </row>
    <row r="55" spans="1:9" x14ac:dyDescent="0.2">
      <c r="A55" s="66">
        <v>3000000</v>
      </c>
      <c r="B55" s="67">
        <f t="shared" si="0"/>
        <v>6.52</v>
      </c>
      <c r="C55" s="67">
        <f t="shared" si="3"/>
        <v>0.41000000000000014</v>
      </c>
      <c r="D55" s="73">
        <f t="shared" si="4"/>
        <v>0</v>
      </c>
      <c r="E55" s="68">
        <f>IF(D55=0,0,(+B54-((C55/1000000)*(D55-A54))))</f>
        <v>0</v>
      </c>
      <c r="F55" s="63">
        <f t="shared" si="2"/>
        <v>0</v>
      </c>
      <c r="H55" s="67">
        <v>6.52</v>
      </c>
      <c r="I55" s="67">
        <v>5.41</v>
      </c>
    </row>
    <row r="56" spans="1:9" x14ac:dyDescent="0.2">
      <c r="A56" s="66">
        <v>4000000</v>
      </c>
      <c r="B56" s="67">
        <f t="shared" si="0"/>
        <v>6.24</v>
      </c>
      <c r="C56" s="67">
        <f t="shared" si="3"/>
        <v>0.27999999999999936</v>
      </c>
      <c r="D56" s="73">
        <f t="shared" si="4"/>
        <v>0</v>
      </c>
      <c r="E56" s="68">
        <f>IF(D56=0,0,(+B55-((C56/1000000)*(D56-A55))))</f>
        <v>0</v>
      </c>
      <c r="F56" s="63">
        <f t="shared" si="2"/>
        <v>0</v>
      </c>
      <c r="H56" s="67">
        <v>6.24</v>
      </c>
      <c r="I56" s="67">
        <v>5.19</v>
      </c>
    </row>
    <row r="57" spans="1:9" x14ac:dyDescent="0.2">
      <c r="A57" s="66">
        <v>5000000</v>
      </c>
      <c r="B57" s="67">
        <f t="shared" si="0"/>
        <v>6.03</v>
      </c>
      <c r="C57" s="67">
        <f t="shared" si="3"/>
        <v>0.20999999999999996</v>
      </c>
      <c r="D57" s="73">
        <f t="shared" si="4"/>
        <v>0</v>
      </c>
      <c r="E57" s="68">
        <f>IF(D57=0,0,(+B56-((C57/1000000)*(D57-A56))))</f>
        <v>0</v>
      </c>
      <c r="F57" s="63">
        <f t="shared" si="2"/>
        <v>0</v>
      </c>
      <c r="H57" s="67">
        <v>6.03</v>
      </c>
      <c r="I57" s="67">
        <v>5.03</v>
      </c>
    </row>
    <row r="58" spans="1:9" x14ac:dyDescent="0.2">
      <c r="A58" s="42"/>
      <c r="B58" s="41"/>
      <c r="C58" s="41"/>
      <c r="D58" s="69"/>
      <c r="E58" s="70"/>
      <c r="F58" s="64"/>
      <c r="H58" s="41"/>
      <c r="I58" s="41"/>
    </row>
    <row r="59" spans="1:9" x14ac:dyDescent="0.2">
      <c r="D59" s="260" t="s">
        <v>653</v>
      </c>
      <c r="E59" s="261"/>
      <c r="F59" s="65">
        <f>SUM(F43:F58)</f>
        <v>42786.99</v>
      </c>
    </row>
  </sheetData>
  <sheetProtection algorithmName="SHA-512" hashValue="lbE/rcWOx3O/cwGLejO1DH2g7WLn7aR/p3r7siSB5em5l4ONH1uFm++Y+AOSSGpHjbODM5/gWPMiaites8QITA==" saltValue="72+/TSUGfdSZcdit6rqhuA==" spinCount="100000" sheet="1" objects="1" scenarios="1"/>
  <mergeCells count="18">
    <mergeCell ref="D2:F2"/>
    <mergeCell ref="A30:B30"/>
    <mergeCell ref="A2:B2"/>
    <mergeCell ref="D59:E59"/>
    <mergeCell ref="H41:I41"/>
    <mergeCell ref="D17:F17"/>
    <mergeCell ref="D18:E18"/>
    <mergeCell ref="D19:E19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25:E25"/>
  </mergeCells>
  <dataValidations count="1">
    <dataValidation type="list" allowBlank="1" showInputMessage="1" showErrorMessage="1" sqref="F6" xr:uid="{00000000-0002-0000-0400-000000000000}">
      <formula1>"Full-Time,Part-Time"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G111"/>
  <sheetViews>
    <sheetView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G3" sqref="G3"/>
    </sheetView>
  </sheetViews>
  <sheetFormatPr defaultColWidth="8.85546875" defaultRowHeight="12.75" x14ac:dyDescent="0.2"/>
  <cols>
    <col min="1" max="1" width="11.7109375" style="10" customWidth="1"/>
    <col min="2" max="2" width="8.7109375" style="10" customWidth="1"/>
    <col min="3" max="3" width="10.7109375" style="10" customWidth="1"/>
    <col min="4" max="4" width="10" style="10" bestFit="1" customWidth="1"/>
    <col min="5" max="5" width="8.85546875" style="10"/>
    <col min="6" max="6" width="9.42578125" style="10" bestFit="1" customWidth="1"/>
    <col min="7" max="16384" width="8.85546875" style="10"/>
  </cols>
  <sheetData>
    <row r="1" spans="1:7" ht="15.6" customHeight="1" x14ac:dyDescent="0.2">
      <c r="A1" s="25" t="s">
        <v>688</v>
      </c>
      <c r="B1" s="9"/>
      <c r="C1" s="9"/>
    </row>
    <row r="2" spans="1:7" ht="14.45" customHeight="1" x14ac:dyDescent="0.2">
      <c r="F2" s="208" t="s">
        <v>679</v>
      </c>
      <c r="G2" s="208" t="s">
        <v>680</v>
      </c>
    </row>
    <row r="3" spans="1:7" ht="66.75" customHeight="1" thickBot="1" x14ac:dyDescent="0.25">
      <c r="A3" s="17" t="s">
        <v>59</v>
      </c>
      <c r="B3" s="18" t="s">
        <v>165</v>
      </c>
      <c r="C3" s="18" t="s">
        <v>60</v>
      </c>
      <c r="D3" s="18" t="s">
        <v>166</v>
      </c>
    </row>
    <row r="4" spans="1:7" ht="13.5" thickTop="1" x14ac:dyDescent="0.2">
      <c r="A4" s="15" t="s">
        <v>104</v>
      </c>
      <c r="B4" s="16" t="s">
        <v>687</v>
      </c>
      <c r="C4" s="16" t="s">
        <v>687</v>
      </c>
      <c r="D4" s="24" t="s">
        <v>31</v>
      </c>
    </row>
    <row r="5" spans="1:7" x14ac:dyDescent="0.2">
      <c r="A5" s="12" t="s">
        <v>92</v>
      </c>
      <c r="B5" s="16" t="s">
        <v>687</v>
      </c>
      <c r="C5" s="16" t="s">
        <v>687</v>
      </c>
      <c r="D5" s="13" t="s">
        <v>31</v>
      </c>
    </row>
    <row r="6" spans="1:7" x14ac:dyDescent="0.2">
      <c r="A6" s="12" t="s">
        <v>105</v>
      </c>
      <c r="B6" s="16" t="s">
        <v>687</v>
      </c>
      <c r="C6" s="16" t="s">
        <v>687</v>
      </c>
      <c r="D6" s="13" t="s">
        <v>31</v>
      </c>
    </row>
    <row r="7" spans="1:7" x14ac:dyDescent="0.2">
      <c r="A7" s="12" t="s">
        <v>85</v>
      </c>
      <c r="B7" s="16" t="s">
        <v>687</v>
      </c>
      <c r="C7" s="16" t="s">
        <v>687</v>
      </c>
      <c r="D7" s="13" t="s">
        <v>31</v>
      </c>
    </row>
    <row r="8" spans="1:7" x14ac:dyDescent="0.2">
      <c r="A8" s="12" t="s">
        <v>81</v>
      </c>
      <c r="B8" s="16" t="s">
        <v>687</v>
      </c>
      <c r="C8" s="16" t="s">
        <v>687</v>
      </c>
      <c r="D8" s="13" t="s">
        <v>31</v>
      </c>
    </row>
    <row r="9" spans="1:7" x14ac:dyDescent="0.2">
      <c r="A9" s="12" t="s">
        <v>106</v>
      </c>
      <c r="B9" s="16" t="s">
        <v>687</v>
      </c>
      <c r="C9" s="16" t="s">
        <v>687</v>
      </c>
      <c r="D9" s="13" t="s">
        <v>31</v>
      </c>
    </row>
    <row r="10" spans="1:7" x14ac:dyDescent="0.2">
      <c r="A10" s="12" t="s">
        <v>107</v>
      </c>
      <c r="B10" s="16" t="s">
        <v>687</v>
      </c>
      <c r="C10" s="16" t="s">
        <v>687</v>
      </c>
      <c r="D10" s="13" t="s">
        <v>31</v>
      </c>
    </row>
    <row r="11" spans="1:7" x14ac:dyDescent="0.2">
      <c r="A11" s="12" t="s">
        <v>108</v>
      </c>
      <c r="B11" s="16" t="s">
        <v>687</v>
      </c>
      <c r="C11" s="16" t="s">
        <v>687</v>
      </c>
      <c r="D11" s="13" t="s">
        <v>31</v>
      </c>
    </row>
    <row r="12" spans="1:7" x14ac:dyDescent="0.2">
      <c r="A12" s="12" t="s">
        <v>109</v>
      </c>
      <c r="B12" s="16" t="s">
        <v>687</v>
      </c>
      <c r="C12" s="16" t="s">
        <v>687</v>
      </c>
      <c r="D12" s="13" t="s">
        <v>31</v>
      </c>
    </row>
    <row r="13" spans="1:7" x14ac:dyDescent="0.2">
      <c r="A13" s="12" t="s">
        <v>110</v>
      </c>
      <c r="B13" s="16" t="s">
        <v>687</v>
      </c>
      <c r="C13" s="16" t="s">
        <v>687</v>
      </c>
      <c r="D13" s="13" t="s">
        <v>31</v>
      </c>
    </row>
    <row r="14" spans="1:7" x14ac:dyDescent="0.2">
      <c r="A14" s="12" t="s">
        <v>111</v>
      </c>
      <c r="B14" s="16" t="s">
        <v>687</v>
      </c>
      <c r="C14" s="16" t="s">
        <v>687</v>
      </c>
      <c r="D14" s="13" t="s">
        <v>31</v>
      </c>
    </row>
    <row r="15" spans="1:7" x14ac:dyDescent="0.2">
      <c r="A15" s="12" t="s">
        <v>76</v>
      </c>
      <c r="B15" s="16" t="s">
        <v>687</v>
      </c>
      <c r="C15" s="16" t="s">
        <v>687</v>
      </c>
      <c r="D15" s="13" t="s">
        <v>31</v>
      </c>
    </row>
    <row r="16" spans="1:7" x14ac:dyDescent="0.2">
      <c r="A16" s="12" t="s">
        <v>112</v>
      </c>
      <c r="B16" s="16" t="s">
        <v>687</v>
      </c>
      <c r="C16" s="16" t="s">
        <v>687</v>
      </c>
      <c r="D16" s="13" t="s">
        <v>31</v>
      </c>
    </row>
    <row r="17" spans="1:4" x14ac:dyDescent="0.2">
      <c r="A17" s="12" t="s">
        <v>64</v>
      </c>
      <c r="B17" s="16" t="s">
        <v>687</v>
      </c>
      <c r="C17" s="16" t="s">
        <v>687</v>
      </c>
      <c r="D17" s="13" t="s">
        <v>31</v>
      </c>
    </row>
    <row r="18" spans="1:4" x14ac:dyDescent="0.2">
      <c r="A18" s="12" t="s">
        <v>113</v>
      </c>
      <c r="B18" s="16" t="s">
        <v>687</v>
      </c>
      <c r="C18" s="16" t="s">
        <v>687</v>
      </c>
      <c r="D18" s="13" t="s">
        <v>31</v>
      </c>
    </row>
    <row r="19" spans="1:4" x14ac:dyDescent="0.2">
      <c r="A19" s="12" t="s">
        <v>114</v>
      </c>
      <c r="B19" s="16" t="s">
        <v>687</v>
      </c>
      <c r="C19" s="16" t="s">
        <v>687</v>
      </c>
      <c r="D19" s="13" t="s">
        <v>31</v>
      </c>
    </row>
    <row r="20" spans="1:4" x14ac:dyDescent="0.2">
      <c r="A20" s="12" t="s">
        <v>115</v>
      </c>
      <c r="B20" s="16" t="s">
        <v>687</v>
      </c>
      <c r="C20" s="16" t="s">
        <v>687</v>
      </c>
      <c r="D20" s="13" t="s">
        <v>31</v>
      </c>
    </row>
    <row r="21" spans="1:4" x14ac:dyDescent="0.2">
      <c r="A21" s="12" t="s">
        <v>116</v>
      </c>
      <c r="B21" s="16" t="s">
        <v>687</v>
      </c>
      <c r="C21" s="16" t="s">
        <v>687</v>
      </c>
      <c r="D21" s="13" t="s">
        <v>31</v>
      </c>
    </row>
    <row r="22" spans="1:4" x14ac:dyDescent="0.2">
      <c r="A22" s="12" t="s">
        <v>117</v>
      </c>
      <c r="B22" s="16" t="s">
        <v>687</v>
      </c>
      <c r="C22" s="16" t="s">
        <v>687</v>
      </c>
      <c r="D22" s="13" t="s">
        <v>31</v>
      </c>
    </row>
    <row r="23" spans="1:4" x14ac:dyDescent="0.2">
      <c r="A23" s="12" t="s">
        <v>118</v>
      </c>
      <c r="B23" s="16" t="s">
        <v>687</v>
      </c>
      <c r="C23" s="16" t="s">
        <v>687</v>
      </c>
      <c r="D23" s="13" t="s">
        <v>31</v>
      </c>
    </row>
    <row r="24" spans="1:4" x14ac:dyDescent="0.2">
      <c r="A24" s="12" t="s">
        <v>119</v>
      </c>
      <c r="B24" s="16" t="s">
        <v>687</v>
      </c>
      <c r="C24" s="16" t="s">
        <v>687</v>
      </c>
      <c r="D24" s="13" t="s">
        <v>31</v>
      </c>
    </row>
    <row r="25" spans="1:4" x14ac:dyDescent="0.2">
      <c r="A25" s="12" t="s">
        <v>95</v>
      </c>
      <c r="B25" s="16" t="s">
        <v>687</v>
      </c>
      <c r="C25" s="16" t="s">
        <v>687</v>
      </c>
      <c r="D25" s="13" t="s">
        <v>31</v>
      </c>
    </row>
    <row r="26" spans="1:4" x14ac:dyDescent="0.2">
      <c r="A26" s="12" t="s">
        <v>120</v>
      </c>
      <c r="B26" s="16" t="s">
        <v>687</v>
      </c>
      <c r="C26" s="16" t="s">
        <v>687</v>
      </c>
      <c r="D26" s="13" t="s">
        <v>31</v>
      </c>
    </row>
    <row r="27" spans="1:4" x14ac:dyDescent="0.2">
      <c r="A27" s="12" t="s">
        <v>121</v>
      </c>
      <c r="B27" s="16" t="s">
        <v>687</v>
      </c>
      <c r="C27" s="16" t="s">
        <v>687</v>
      </c>
      <c r="D27" s="13" t="s">
        <v>31</v>
      </c>
    </row>
    <row r="28" spans="1:4" x14ac:dyDescent="0.2">
      <c r="A28" s="12" t="s">
        <v>77</v>
      </c>
      <c r="B28" s="16" t="s">
        <v>687</v>
      </c>
      <c r="C28" s="16" t="s">
        <v>687</v>
      </c>
      <c r="D28" s="13" t="s">
        <v>31</v>
      </c>
    </row>
    <row r="29" spans="1:4" x14ac:dyDescent="0.2">
      <c r="A29" s="12" t="s">
        <v>96</v>
      </c>
      <c r="B29" s="16" t="s">
        <v>687</v>
      </c>
      <c r="C29" s="16" t="s">
        <v>687</v>
      </c>
      <c r="D29" s="13" t="s">
        <v>31</v>
      </c>
    </row>
    <row r="30" spans="1:4" x14ac:dyDescent="0.2">
      <c r="A30" s="12" t="s">
        <v>83</v>
      </c>
      <c r="B30" s="16" t="s">
        <v>687</v>
      </c>
      <c r="C30" s="16" t="s">
        <v>687</v>
      </c>
      <c r="D30" s="13" t="s">
        <v>31</v>
      </c>
    </row>
    <row r="31" spans="1:4" x14ac:dyDescent="0.2">
      <c r="A31" s="12" t="s">
        <v>86</v>
      </c>
      <c r="B31" s="16" t="s">
        <v>687</v>
      </c>
      <c r="C31" s="16" t="s">
        <v>687</v>
      </c>
      <c r="D31" s="13" t="s">
        <v>31</v>
      </c>
    </row>
    <row r="32" spans="1:4" x14ac:dyDescent="0.2">
      <c r="A32" s="12" t="s">
        <v>122</v>
      </c>
      <c r="B32" s="16" t="s">
        <v>687</v>
      </c>
      <c r="C32" s="16" t="s">
        <v>687</v>
      </c>
      <c r="D32" s="13" t="s">
        <v>31</v>
      </c>
    </row>
    <row r="33" spans="1:4" x14ac:dyDescent="0.2">
      <c r="A33" s="12" t="s">
        <v>123</v>
      </c>
      <c r="B33" s="16" t="s">
        <v>687</v>
      </c>
      <c r="C33" s="16" t="s">
        <v>687</v>
      </c>
      <c r="D33" s="13" t="s">
        <v>31</v>
      </c>
    </row>
    <row r="34" spans="1:4" x14ac:dyDescent="0.2">
      <c r="A34" s="12" t="s">
        <v>94</v>
      </c>
      <c r="B34" s="16" t="s">
        <v>687</v>
      </c>
      <c r="C34" s="16" t="s">
        <v>687</v>
      </c>
      <c r="D34" s="13" t="s">
        <v>31</v>
      </c>
    </row>
    <row r="35" spans="1:4" x14ac:dyDescent="0.2">
      <c r="A35" s="12" t="s">
        <v>124</v>
      </c>
      <c r="B35" s="16" t="s">
        <v>687</v>
      </c>
      <c r="C35" s="16" t="s">
        <v>687</v>
      </c>
      <c r="D35" s="13" t="s">
        <v>31</v>
      </c>
    </row>
    <row r="36" spans="1:4" x14ac:dyDescent="0.2">
      <c r="A36" s="12" t="s">
        <v>125</v>
      </c>
      <c r="B36" s="16" t="s">
        <v>687</v>
      </c>
      <c r="C36" s="16" t="s">
        <v>687</v>
      </c>
      <c r="D36" s="13" t="s">
        <v>31</v>
      </c>
    </row>
    <row r="37" spans="1:4" x14ac:dyDescent="0.2">
      <c r="A37" s="12" t="s">
        <v>126</v>
      </c>
      <c r="B37" s="16" t="s">
        <v>687</v>
      </c>
      <c r="C37" s="16" t="s">
        <v>687</v>
      </c>
      <c r="D37" s="13" t="s">
        <v>31</v>
      </c>
    </row>
    <row r="38" spans="1:4" x14ac:dyDescent="0.2">
      <c r="A38" s="12" t="s">
        <v>127</v>
      </c>
      <c r="B38" s="16" t="s">
        <v>687</v>
      </c>
      <c r="C38" s="16" t="s">
        <v>687</v>
      </c>
      <c r="D38" s="13" t="s">
        <v>31</v>
      </c>
    </row>
    <row r="39" spans="1:4" x14ac:dyDescent="0.2">
      <c r="A39" s="12" t="s">
        <v>128</v>
      </c>
      <c r="B39" s="16" t="s">
        <v>687</v>
      </c>
      <c r="C39" s="16" t="s">
        <v>687</v>
      </c>
      <c r="D39" s="13" t="s">
        <v>31</v>
      </c>
    </row>
    <row r="40" spans="1:4" x14ac:dyDescent="0.2">
      <c r="A40" s="12" t="s">
        <v>129</v>
      </c>
      <c r="B40" s="16" t="s">
        <v>687</v>
      </c>
      <c r="C40" s="16" t="s">
        <v>687</v>
      </c>
      <c r="D40" s="13" t="s">
        <v>31</v>
      </c>
    </row>
    <row r="41" spans="1:4" x14ac:dyDescent="0.2">
      <c r="A41" s="12" t="s">
        <v>130</v>
      </c>
      <c r="B41" s="16" t="s">
        <v>687</v>
      </c>
      <c r="C41" s="16" t="s">
        <v>687</v>
      </c>
      <c r="D41" s="13" t="s">
        <v>31</v>
      </c>
    </row>
    <row r="42" spans="1:4" x14ac:dyDescent="0.2">
      <c r="A42" s="12" t="s">
        <v>75</v>
      </c>
      <c r="B42" s="16" t="s">
        <v>687</v>
      </c>
      <c r="C42" s="16" t="s">
        <v>687</v>
      </c>
      <c r="D42" s="13" t="s">
        <v>31</v>
      </c>
    </row>
    <row r="43" spans="1:4" x14ac:dyDescent="0.2">
      <c r="A43" s="12" t="s">
        <v>84</v>
      </c>
      <c r="B43" s="16" t="s">
        <v>687</v>
      </c>
      <c r="C43" s="16" t="s">
        <v>687</v>
      </c>
      <c r="D43" s="13" t="s">
        <v>31</v>
      </c>
    </row>
    <row r="44" spans="1:4" x14ac:dyDescent="0.2">
      <c r="A44" s="12" t="s">
        <v>65</v>
      </c>
      <c r="B44" s="16" t="s">
        <v>687</v>
      </c>
      <c r="C44" s="16" t="s">
        <v>687</v>
      </c>
      <c r="D44" s="13" t="s">
        <v>31</v>
      </c>
    </row>
    <row r="45" spans="1:4" x14ac:dyDescent="0.2">
      <c r="A45" s="12" t="s">
        <v>71</v>
      </c>
      <c r="B45" s="16" t="s">
        <v>687</v>
      </c>
      <c r="C45" s="16" t="s">
        <v>687</v>
      </c>
      <c r="D45" s="13" t="s">
        <v>31</v>
      </c>
    </row>
    <row r="46" spans="1:4" x14ac:dyDescent="0.2">
      <c r="A46" s="12" t="s">
        <v>131</v>
      </c>
      <c r="B46" s="16" t="s">
        <v>687</v>
      </c>
      <c r="C46" s="16" t="s">
        <v>687</v>
      </c>
      <c r="D46" s="13" t="s">
        <v>31</v>
      </c>
    </row>
    <row r="47" spans="1:4" x14ac:dyDescent="0.2">
      <c r="A47" s="12" t="s">
        <v>132</v>
      </c>
      <c r="B47" s="16" t="s">
        <v>687</v>
      </c>
      <c r="C47" s="16" t="s">
        <v>687</v>
      </c>
      <c r="D47" s="13" t="s">
        <v>31</v>
      </c>
    </row>
    <row r="48" spans="1:4" x14ac:dyDescent="0.2">
      <c r="A48" s="12" t="s">
        <v>78</v>
      </c>
      <c r="B48" s="16" t="s">
        <v>687</v>
      </c>
      <c r="C48" s="16" t="s">
        <v>687</v>
      </c>
      <c r="D48" s="13" t="s">
        <v>31</v>
      </c>
    </row>
    <row r="49" spans="1:4" x14ac:dyDescent="0.2">
      <c r="A49" s="12" t="s">
        <v>133</v>
      </c>
      <c r="B49" s="16" t="s">
        <v>687</v>
      </c>
      <c r="C49" s="16" t="s">
        <v>687</v>
      </c>
      <c r="D49" s="13" t="s">
        <v>31</v>
      </c>
    </row>
    <row r="50" spans="1:4" x14ac:dyDescent="0.2">
      <c r="A50" s="12" t="s">
        <v>134</v>
      </c>
      <c r="B50" s="16" t="s">
        <v>687</v>
      </c>
      <c r="C50" s="16" t="s">
        <v>687</v>
      </c>
      <c r="D50" s="13" t="s">
        <v>31</v>
      </c>
    </row>
    <row r="51" spans="1:4" x14ac:dyDescent="0.2">
      <c r="A51" s="12" t="s">
        <v>135</v>
      </c>
      <c r="B51" s="16" t="s">
        <v>687</v>
      </c>
      <c r="C51" s="16" t="s">
        <v>687</v>
      </c>
      <c r="D51" s="13" t="s">
        <v>31</v>
      </c>
    </row>
    <row r="52" spans="1:4" x14ac:dyDescent="0.2">
      <c r="A52" s="12" t="s">
        <v>88</v>
      </c>
      <c r="B52" s="16" t="s">
        <v>687</v>
      </c>
      <c r="C52" s="16" t="s">
        <v>687</v>
      </c>
      <c r="D52" s="13" t="s">
        <v>31</v>
      </c>
    </row>
    <row r="53" spans="1:4" x14ac:dyDescent="0.2">
      <c r="A53" s="12" t="s">
        <v>136</v>
      </c>
      <c r="B53" s="16" t="s">
        <v>687</v>
      </c>
      <c r="C53" s="16" t="s">
        <v>687</v>
      </c>
      <c r="D53" s="13" t="s">
        <v>31</v>
      </c>
    </row>
    <row r="54" spans="1:4" x14ac:dyDescent="0.2">
      <c r="A54" s="12" t="s">
        <v>137</v>
      </c>
      <c r="B54" s="16" t="s">
        <v>687</v>
      </c>
      <c r="C54" s="16" t="s">
        <v>687</v>
      </c>
      <c r="D54" s="13" t="s">
        <v>31</v>
      </c>
    </row>
    <row r="55" spans="1:4" x14ac:dyDescent="0.2">
      <c r="A55" s="12" t="s">
        <v>138</v>
      </c>
      <c r="B55" s="16" t="s">
        <v>687</v>
      </c>
      <c r="C55" s="16" t="s">
        <v>687</v>
      </c>
      <c r="D55" s="13" t="s">
        <v>31</v>
      </c>
    </row>
    <row r="56" spans="1:4" x14ac:dyDescent="0.2">
      <c r="A56" s="12" t="s">
        <v>139</v>
      </c>
      <c r="B56" s="16" t="s">
        <v>687</v>
      </c>
      <c r="C56" s="16" t="s">
        <v>687</v>
      </c>
      <c r="D56" s="13" t="s">
        <v>31</v>
      </c>
    </row>
    <row r="57" spans="1:4" x14ac:dyDescent="0.2">
      <c r="A57" s="12" t="s">
        <v>87</v>
      </c>
      <c r="B57" s="16" t="s">
        <v>687</v>
      </c>
      <c r="C57" s="16" t="s">
        <v>687</v>
      </c>
      <c r="D57" s="13" t="s">
        <v>31</v>
      </c>
    </row>
    <row r="58" spans="1:4" x14ac:dyDescent="0.2">
      <c r="A58" s="12" t="s">
        <v>140</v>
      </c>
      <c r="B58" s="16" t="s">
        <v>687</v>
      </c>
      <c r="C58" s="16" t="s">
        <v>687</v>
      </c>
      <c r="D58" s="13" t="s">
        <v>31</v>
      </c>
    </row>
    <row r="59" spans="1:4" x14ac:dyDescent="0.2">
      <c r="A59" s="12" t="s">
        <v>141</v>
      </c>
      <c r="B59" s="16" t="s">
        <v>687</v>
      </c>
      <c r="C59" s="16" t="s">
        <v>687</v>
      </c>
      <c r="D59" s="13" t="s">
        <v>31</v>
      </c>
    </row>
    <row r="60" spans="1:4" x14ac:dyDescent="0.2">
      <c r="A60" s="12" t="s">
        <v>79</v>
      </c>
      <c r="B60" s="16" t="s">
        <v>687</v>
      </c>
      <c r="C60" s="16" t="s">
        <v>687</v>
      </c>
      <c r="D60" s="13" t="s">
        <v>31</v>
      </c>
    </row>
    <row r="61" spans="1:4" x14ac:dyDescent="0.2">
      <c r="A61" s="12" t="s">
        <v>67</v>
      </c>
      <c r="B61" s="16" t="s">
        <v>687</v>
      </c>
      <c r="C61" s="16" t="s">
        <v>687</v>
      </c>
      <c r="D61" s="13" t="s">
        <v>31</v>
      </c>
    </row>
    <row r="62" spans="1:4" x14ac:dyDescent="0.2">
      <c r="A62" s="12" t="s">
        <v>72</v>
      </c>
      <c r="B62" s="16" t="s">
        <v>687</v>
      </c>
      <c r="C62" s="16" t="s">
        <v>687</v>
      </c>
      <c r="D62" s="13" t="s">
        <v>31</v>
      </c>
    </row>
    <row r="63" spans="1:4" x14ac:dyDescent="0.2">
      <c r="A63" s="12" t="s">
        <v>90</v>
      </c>
      <c r="B63" s="16" t="s">
        <v>687</v>
      </c>
      <c r="C63" s="16" t="s">
        <v>687</v>
      </c>
      <c r="D63" s="13" t="s">
        <v>31</v>
      </c>
    </row>
    <row r="64" spans="1:4" x14ac:dyDescent="0.2">
      <c r="A64" s="12" t="s">
        <v>142</v>
      </c>
      <c r="B64" s="16" t="s">
        <v>687</v>
      </c>
      <c r="C64" s="16" t="s">
        <v>687</v>
      </c>
      <c r="D64" s="13" t="s">
        <v>31</v>
      </c>
    </row>
    <row r="65" spans="1:4" x14ac:dyDescent="0.2">
      <c r="A65" s="12" t="s">
        <v>93</v>
      </c>
      <c r="B65" s="16" t="s">
        <v>687</v>
      </c>
      <c r="C65" s="16" t="s">
        <v>687</v>
      </c>
      <c r="D65" s="13" t="s">
        <v>31</v>
      </c>
    </row>
    <row r="66" spans="1:4" x14ac:dyDescent="0.2">
      <c r="A66" s="12" t="s">
        <v>143</v>
      </c>
      <c r="B66" s="16" t="s">
        <v>687</v>
      </c>
      <c r="C66" s="16" t="s">
        <v>687</v>
      </c>
      <c r="D66" s="13" t="s">
        <v>31</v>
      </c>
    </row>
    <row r="67" spans="1:4" x14ac:dyDescent="0.2">
      <c r="A67" s="12" t="s">
        <v>144</v>
      </c>
      <c r="B67" s="16" t="s">
        <v>687</v>
      </c>
      <c r="C67" s="16" t="s">
        <v>687</v>
      </c>
      <c r="D67" s="13" t="s">
        <v>31</v>
      </c>
    </row>
    <row r="68" spans="1:4" x14ac:dyDescent="0.2">
      <c r="A68" s="12" t="s">
        <v>145</v>
      </c>
      <c r="B68" s="16" t="s">
        <v>687</v>
      </c>
      <c r="C68" s="16" t="s">
        <v>687</v>
      </c>
      <c r="D68" s="13" t="s">
        <v>31</v>
      </c>
    </row>
    <row r="69" spans="1:4" x14ac:dyDescent="0.2">
      <c r="A69" s="12" t="s">
        <v>146</v>
      </c>
      <c r="B69" s="16" t="s">
        <v>687</v>
      </c>
      <c r="C69" s="16" t="s">
        <v>687</v>
      </c>
      <c r="D69" s="13" t="s">
        <v>31</v>
      </c>
    </row>
    <row r="70" spans="1:4" x14ac:dyDescent="0.2">
      <c r="A70" s="12" t="s">
        <v>147</v>
      </c>
      <c r="B70" s="16" t="s">
        <v>687</v>
      </c>
      <c r="C70" s="16" t="s">
        <v>687</v>
      </c>
      <c r="D70" s="13" t="s">
        <v>31</v>
      </c>
    </row>
    <row r="71" spans="1:4" x14ac:dyDescent="0.2">
      <c r="A71" s="12" t="s">
        <v>80</v>
      </c>
      <c r="B71" s="16" t="s">
        <v>687</v>
      </c>
      <c r="C71" s="16" t="s">
        <v>687</v>
      </c>
      <c r="D71" s="13" t="s">
        <v>31</v>
      </c>
    </row>
    <row r="72" spans="1:4" x14ac:dyDescent="0.2">
      <c r="A72" s="12" t="s">
        <v>148</v>
      </c>
      <c r="B72" s="16" t="s">
        <v>687</v>
      </c>
      <c r="C72" s="16" t="s">
        <v>687</v>
      </c>
      <c r="D72" s="13" t="s">
        <v>31</v>
      </c>
    </row>
    <row r="73" spans="1:4" x14ac:dyDescent="0.2">
      <c r="A73" s="12" t="s">
        <v>70</v>
      </c>
      <c r="B73" s="16" t="s">
        <v>687</v>
      </c>
      <c r="C73" s="16" t="s">
        <v>687</v>
      </c>
      <c r="D73" s="13" t="s">
        <v>31</v>
      </c>
    </row>
    <row r="74" spans="1:4" x14ac:dyDescent="0.2">
      <c r="A74" s="12" t="s">
        <v>68</v>
      </c>
      <c r="B74" s="16" t="s">
        <v>687</v>
      </c>
      <c r="C74" s="16" t="s">
        <v>687</v>
      </c>
      <c r="D74" s="13" t="s">
        <v>31</v>
      </c>
    </row>
    <row r="75" spans="1:4" x14ac:dyDescent="0.2">
      <c r="A75" s="12" t="s">
        <v>69</v>
      </c>
      <c r="B75" s="16" t="s">
        <v>687</v>
      </c>
      <c r="C75" s="16" t="s">
        <v>687</v>
      </c>
      <c r="D75" s="13" t="s">
        <v>31</v>
      </c>
    </row>
    <row r="76" spans="1:4" x14ac:dyDescent="0.2">
      <c r="A76" s="12" t="s">
        <v>89</v>
      </c>
      <c r="B76" s="16" t="s">
        <v>687</v>
      </c>
      <c r="C76" s="16" t="s">
        <v>687</v>
      </c>
      <c r="D76" s="13" t="s">
        <v>31</v>
      </c>
    </row>
    <row r="77" spans="1:4" x14ac:dyDescent="0.2">
      <c r="A77" s="12" t="s">
        <v>149</v>
      </c>
      <c r="B77" s="16" t="s">
        <v>687</v>
      </c>
      <c r="C77" s="16" t="s">
        <v>687</v>
      </c>
      <c r="D77" s="13" t="s">
        <v>31</v>
      </c>
    </row>
    <row r="78" spans="1:4" x14ac:dyDescent="0.2">
      <c r="A78" s="12" t="s">
        <v>150</v>
      </c>
      <c r="B78" s="16" t="s">
        <v>687</v>
      </c>
      <c r="C78" s="16" t="s">
        <v>687</v>
      </c>
      <c r="D78" s="13" t="s">
        <v>31</v>
      </c>
    </row>
    <row r="79" spans="1:4" x14ac:dyDescent="0.2">
      <c r="A79" s="12" t="s">
        <v>151</v>
      </c>
      <c r="B79" s="16" t="s">
        <v>687</v>
      </c>
      <c r="C79" s="16" t="s">
        <v>687</v>
      </c>
      <c r="D79" s="13" t="s">
        <v>31</v>
      </c>
    </row>
    <row r="80" spans="1:4" x14ac:dyDescent="0.2">
      <c r="A80" s="12" t="s">
        <v>152</v>
      </c>
      <c r="B80" s="16" t="s">
        <v>687</v>
      </c>
      <c r="C80" s="16" t="s">
        <v>687</v>
      </c>
      <c r="D80" s="13" t="s">
        <v>31</v>
      </c>
    </row>
    <row r="81" spans="1:4" x14ac:dyDescent="0.2">
      <c r="A81" s="12" t="s">
        <v>91</v>
      </c>
      <c r="B81" s="16" t="s">
        <v>687</v>
      </c>
      <c r="C81" s="16" t="s">
        <v>687</v>
      </c>
      <c r="D81" s="13" t="s">
        <v>31</v>
      </c>
    </row>
    <row r="82" spans="1:4" x14ac:dyDescent="0.2">
      <c r="A82" s="12" t="s">
        <v>61</v>
      </c>
      <c r="B82" s="16" t="s">
        <v>687</v>
      </c>
      <c r="C82" s="16" t="s">
        <v>687</v>
      </c>
      <c r="D82" s="13" t="s">
        <v>31</v>
      </c>
    </row>
    <row r="83" spans="1:4" x14ac:dyDescent="0.2">
      <c r="A83" s="12" t="s">
        <v>63</v>
      </c>
      <c r="B83" s="16" t="s">
        <v>687</v>
      </c>
      <c r="C83" s="16" t="s">
        <v>687</v>
      </c>
      <c r="D83" s="13" t="s">
        <v>31</v>
      </c>
    </row>
    <row r="84" spans="1:4" x14ac:dyDescent="0.2">
      <c r="A84" s="12" t="s">
        <v>153</v>
      </c>
      <c r="B84" s="16" t="s">
        <v>687</v>
      </c>
      <c r="C84" s="16" t="s">
        <v>687</v>
      </c>
      <c r="D84" s="13" t="s">
        <v>31</v>
      </c>
    </row>
    <row r="85" spans="1:4" x14ac:dyDescent="0.2">
      <c r="A85" s="12" t="s">
        <v>154</v>
      </c>
      <c r="B85" s="16" t="s">
        <v>687</v>
      </c>
      <c r="C85" s="16" t="s">
        <v>687</v>
      </c>
      <c r="D85" s="13" t="s">
        <v>31</v>
      </c>
    </row>
    <row r="86" spans="1:4" x14ac:dyDescent="0.2">
      <c r="A86" s="12" t="s">
        <v>73</v>
      </c>
      <c r="B86" s="16" t="s">
        <v>687</v>
      </c>
      <c r="C86" s="16" t="s">
        <v>687</v>
      </c>
      <c r="D86" s="13" t="s">
        <v>31</v>
      </c>
    </row>
    <row r="87" spans="1:4" x14ac:dyDescent="0.2">
      <c r="A87" s="12" t="s">
        <v>155</v>
      </c>
      <c r="B87" s="16" t="s">
        <v>687</v>
      </c>
      <c r="C87" s="16" t="s">
        <v>687</v>
      </c>
      <c r="D87" s="13" t="s">
        <v>31</v>
      </c>
    </row>
    <row r="88" spans="1:4" x14ac:dyDescent="0.2">
      <c r="A88" s="12" t="s">
        <v>156</v>
      </c>
      <c r="B88" s="16" t="s">
        <v>687</v>
      </c>
      <c r="C88" s="16" t="s">
        <v>687</v>
      </c>
      <c r="D88" s="13" t="s">
        <v>31</v>
      </c>
    </row>
    <row r="89" spans="1:4" x14ac:dyDescent="0.2">
      <c r="A89" s="12" t="s">
        <v>157</v>
      </c>
      <c r="B89" s="16" t="s">
        <v>687</v>
      </c>
      <c r="C89" s="16" t="s">
        <v>687</v>
      </c>
      <c r="D89" s="13" t="s">
        <v>31</v>
      </c>
    </row>
    <row r="90" spans="1:4" x14ac:dyDescent="0.2">
      <c r="A90" s="12" t="s">
        <v>158</v>
      </c>
      <c r="B90" s="16" t="s">
        <v>687</v>
      </c>
      <c r="C90" s="16" t="s">
        <v>687</v>
      </c>
      <c r="D90" s="13" t="s">
        <v>31</v>
      </c>
    </row>
    <row r="91" spans="1:4" x14ac:dyDescent="0.2">
      <c r="A91" s="12" t="s">
        <v>659</v>
      </c>
      <c r="B91" s="16" t="s">
        <v>687</v>
      </c>
      <c r="C91" s="16" t="s">
        <v>687</v>
      </c>
      <c r="D91" s="13" t="s">
        <v>31</v>
      </c>
    </row>
    <row r="92" spans="1:4" x14ac:dyDescent="0.2">
      <c r="A92" s="12" t="s">
        <v>82</v>
      </c>
      <c r="B92" s="16" t="s">
        <v>687</v>
      </c>
      <c r="C92" s="16" t="s">
        <v>687</v>
      </c>
      <c r="D92" s="13" t="s">
        <v>31</v>
      </c>
    </row>
    <row r="93" spans="1:4" x14ac:dyDescent="0.2">
      <c r="A93" s="12" t="s">
        <v>55</v>
      </c>
      <c r="B93" s="16" t="s">
        <v>687</v>
      </c>
      <c r="C93" s="16" t="s">
        <v>687</v>
      </c>
      <c r="D93" s="13" t="s">
        <v>31</v>
      </c>
    </row>
    <row r="94" spans="1:4" x14ac:dyDescent="0.2">
      <c r="A94" s="12" t="s">
        <v>66</v>
      </c>
      <c r="B94" s="16" t="s">
        <v>687</v>
      </c>
      <c r="C94" s="16" t="s">
        <v>687</v>
      </c>
      <c r="D94" s="13" t="s">
        <v>31</v>
      </c>
    </row>
    <row r="95" spans="1:4" x14ac:dyDescent="0.2">
      <c r="A95" s="12" t="s">
        <v>74</v>
      </c>
      <c r="B95" s="16" t="s">
        <v>687</v>
      </c>
      <c r="C95" s="16" t="s">
        <v>687</v>
      </c>
      <c r="D95" s="13" t="s">
        <v>31</v>
      </c>
    </row>
    <row r="96" spans="1:4" x14ac:dyDescent="0.2">
      <c r="A96" s="12" t="s">
        <v>160</v>
      </c>
      <c r="B96" s="16" t="s">
        <v>687</v>
      </c>
      <c r="C96" s="16" t="s">
        <v>687</v>
      </c>
      <c r="D96" s="13" t="s">
        <v>31</v>
      </c>
    </row>
    <row r="97" spans="1:4" x14ac:dyDescent="0.2">
      <c r="A97" s="12" t="s">
        <v>161</v>
      </c>
      <c r="B97" s="16" t="s">
        <v>687</v>
      </c>
      <c r="C97" s="16" t="s">
        <v>687</v>
      </c>
      <c r="D97" s="13" t="s">
        <v>31</v>
      </c>
    </row>
    <row r="98" spans="1:4" x14ac:dyDescent="0.2">
      <c r="A98" s="12" t="s">
        <v>162</v>
      </c>
      <c r="B98" s="16" t="s">
        <v>687</v>
      </c>
      <c r="C98" s="16" t="s">
        <v>687</v>
      </c>
      <c r="D98" s="13" t="s">
        <v>31</v>
      </c>
    </row>
    <row r="99" spans="1:4" ht="16.5" customHeight="1" x14ac:dyDescent="0.2"/>
    <row r="100" spans="1:4" ht="16.5" customHeight="1" x14ac:dyDescent="0.2"/>
    <row r="101" spans="1:4" ht="16.5" customHeight="1" x14ac:dyDescent="0.2"/>
    <row r="102" spans="1:4" ht="16.5" customHeight="1" x14ac:dyDescent="0.2"/>
    <row r="103" spans="1:4" ht="16.5" customHeight="1" x14ac:dyDescent="0.2">
      <c r="A103" s="11" t="s">
        <v>30</v>
      </c>
      <c r="B103" s="11" t="s">
        <v>97</v>
      </c>
      <c r="C103" s="14" t="s">
        <v>60</v>
      </c>
    </row>
    <row r="104" spans="1:4" ht="16.5" customHeight="1" x14ac:dyDescent="0.2">
      <c r="A104" s="11">
        <v>1</v>
      </c>
      <c r="B104" s="11">
        <f>COUNTIF(B$4:B$98,"1")</f>
        <v>0</v>
      </c>
      <c r="C104" s="13">
        <f>COUNTIF(C4:C98,"Yes")</f>
        <v>0</v>
      </c>
    </row>
    <row r="105" spans="1:4" x14ac:dyDescent="0.2">
      <c r="A105" s="11">
        <v>2</v>
      </c>
      <c r="B105" s="11">
        <f>COUNTIF(B$4:B$98,"2")</f>
        <v>0</v>
      </c>
      <c r="C105" s="11"/>
    </row>
    <row r="106" spans="1:4" x14ac:dyDescent="0.2">
      <c r="A106" s="11">
        <v>3</v>
      </c>
      <c r="B106" s="11">
        <f>COUNTIF(B$4:B$98,"3")</f>
        <v>0</v>
      </c>
      <c r="C106" s="11"/>
    </row>
    <row r="107" spans="1:4" x14ac:dyDescent="0.2">
      <c r="A107" s="11">
        <v>4</v>
      </c>
      <c r="B107" s="11">
        <f>COUNTIF(B$4:B$98,"4")</f>
        <v>0</v>
      </c>
      <c r="C107" s="11"/>
    </row>
    <row r="108" spans="1:4" x14ac:dyDescent="0.2">
      <c r="A108" s="11" t="s">
        <v>5</v>
      </c>
      <c r="B108" s="11">
        <f>SUM(B104:B107)</f>
        <v>0</v>
      </c>
      <c r="C108" s="11"/>
    </row>
    <row r="109" spans="1:4" x14ac:dyDescent="0.2">
      <c r="A109" s="11"/>
    </row>
    <row r="111" spans="1:4" ht="12.75" customHeight="1" x14ac:dyDescent="0.2"/>
  </sheetData>
  <sheetProtection algorithmName="SHA-512" hashValue="FyeUl0fM4kecw+MSOqSdYYULnpG/G+mYDNUowBlE5QYC+3p07Ihcav91u43VeFhq/XhozgiEFl5jaMf34haWYw==" saltValue="lsa23lj01M07HhntLVMuXA==" spinCount="100000" sheet="1" objects="1" scenarios="1"/>
  <sortState xmlns:xlrd2="http://schemas.microsoft.com/office/spreadsheetml/2017/richdata2" ref="A4:D98">
    <sortCondition ref="A4:A98"/>
  </sortState>
  <pageMargins left="0.17" right="0.17" top="0.52" bottom="0.48" header="0.5" footer="0.34"/>
  <pageSetup paperSize="5" fitToHeight="0" orientation="landscape" verticalDpi="597" r:id="rId1"/>
  <headerFooter alignWithMargins="0">
    <oddFooter>&amp;C&amp;9&amp;P&amp;R&amp;Z&amp;F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-0.249977111117893"/>
  </sheetPr>
  <dimension ref="A1:I476"/>
  <sheetViews>
    <sheetView workbookViewId="0">
      <pane xSplit="1" ySplit="1" topLeftCell="B2" activePane="bottomRight" state="frozen"/>
      <selection activeCell="P32" sqref="P32"/>
      <selection pane="topRight" activeCell="P32" sqref="P32"/>
      <selection pane="bottomLeft" activeCell="P32" sqref="P32"/>
      <selection pane="bottomRight" activeCell="D2" sqref="D2:D476"/>
    </sheetView>
  </sheetViews>
  <sheetFormatPr defaultColWidth="9.140625" defaultRowHeight="12.75" x14ac:dyDescent="0.2"/>
  <cols>
    <col min="1" max="1" width="46.28515625" style="29" bestFit="1" customWidth="1"/>
    <col min="2" max="2" width="13.7109375" style="29" bestFit="1" customWidth="1"/>
    <col min="3" max="3" width="32.85546875" style="29" bestFit="1" customWidth="1"/>
    <col min="4" max="4" width="9.140625" style="29"/>
    <col min="5" max="5" width="9.140625" style="219"/>
    <col min="6" max="6" width="8.42578125" style="29" bestFit="1" customWidth="1"/>
    <col min="7" max="7" width="9.7109375" style="29" customWidth="1"/>
    <col min="8" max="16384" width="9.140625" style="29"/>
  </cols>
  <sheetData>
    <row r="1" spans="1:9" ht="25.5" x14ac:dyDescent="0.2">
      <c r="A1" s="26" t="s">
        <v>607</v>
      </c>
      <c r="B1" s="27" t="s">
        <v>59</v>
      </c>
      <c r="C1" s="27" t="s">
        <v>608</v>
      </c>
      <c r="D1" s="28" t="s">
        <v>174</v>
      </c>
      <c r="E1" s="217" t="s">
        <v>175</v>
      </c>
      <c r="F1" s="26" t="s">
        <v>176</v>
      </c>
      <c r="G1" s="26" t="s">
        <v>166</v>
      </c>
      <c r="I1" s="30" t="s">
        <v>702</v>
      </c>
    </row>
    <row r="2" spans="1:9" ht="15" customHeight="1" x14ac:dyDescent="0.2">
      <c r="A2" s="26" t="str">
        <f t="shared" ref="A2:A65" si="0">B2&amp;"-"&amp;C2</f>
        <v>Anderson-Anderson County</v>
      </c>
      <c r="B2" s="27" t="s">
        <v>104</v>
      </c>
      <c r="C2" s="26" t="s">
        <v>173</v>
      </c>
      <c r="D2" s="31">
        <v>0.21</v>
      </c>
      <c r="E2" s="218">
        <v>0.78999999999999981</v>
      </c>
      <c r="F2" s="26" t="s">
        <v>59</v>
      </c>
      <c r="G2" s="32" t="s">
        <v>31</v>
      </c>
    </row>
    <row r="3" spans="1:9" ht="15" customHeight="1" x14ac:dyDescent="0.2">
      <c r="A3" s="26" t="str">
        <f t="shared" si="0"/>
        <v>Anderson-Clinton</v>
      </c>
      <c r="B3" s="27" t="s">
        <v>104</v>
      </c>
      <c r="C3" s="26" t="s">
        <v>172</v>
      </c>
      <c r="D3" s="31">
        <v>0.21</v>
      </c>
      <c r="E3" s="218">
        <v>0.6599999999999997</v>
      </c>
      <c r="F3" s="26" t="s">
        <v>177</v>
      </c>
      <c r="G3" s="32" t="s">
        <v>31</v>
      </c>
    </row>
    <row r="4" spans="1:9" ht="15" customHeight="1" x14ac:dyDescent="0.2">
      <c r="A4" s="26" t="str">
        <f t="shared" si="0"/>
        <v>Anderson-Rocky Top (Lake City)</v>
      </c>
      <c r="B4" s="27" t="s">
        <v>104</v>
      </c>
      <c r="C4" s="26" t="s">
        <v>178</v>
      </c>
      <c r="D4" s="31">
        <v>0.13</v>
      </c>
      <c r="E4" s="218">
        <v>0.86999999999999988</v>
      </c>
      <c r="F4" s="26" t="s">
        <v>177</v>
      </c>
      <c r="G4" s="32" t="s">
        <v>31</v>
      </c>
    </row>
    <row r="5" spans="1:9" ht="15" customHeight="1" x14ac:dyDescent="0.2">
      <c r="A5" s="26" t="str">
        <f t="shared" si="0"/>
        <v>Anderson-Norris</v>
      </c>
      <c r="B5" s="27" t="s">
        <v>104</v>
      </c>
      <c r="C5" s="26" t="s">
        <v>179</v>
      </c>
      <c r="D5" s="31">
        <v>0.27</v>
      </c>
      <c r="E5" s="218">
        <v>0.80999999999999983</v>
      </c>
      <c r="F5" s="26" t="s">
        <v>177</v>
      </c>
      <c r="G5" s="32" t="s">
        <v>31</v>
      </c>
    </row>
    <row r="6" spans="1:9" ht="15" customHeight="1" x14ac:dyDescent="0.2">
      <c r="A6" s="26" t="str">
        <f t="shared" si="0"/>
        <v>Anderson-Oak Ridge</v>
      </c>
      <c r="B6" s="27" t="s">
        <v>104</v>
      </c>
      <c r="C6" s="26" t="s">
        <v>180</v>
      </c>
      <c r="D6" s="31">
        <v>0.24</v>
      </c>
      <c r="E6" s="218">
        <v>0.64999999999999969</v>
      </c>
      <c r="F6" s="26" t="s">
        <v>177</v>
      </c>
      <c r="G6" s="32" t="s">
        <v>31</v>
      </c>
    </row>
    <row r="7" spans="1:9" ht="15" customHeight="1" x14ac:dyDescent="0.2">
      <c r="A7" s="26" t="str">
        <f t="shared" si="0"/>
        <v>Anderson-Oliver Springs</v>
      </c>
      <c r="B7" s="27" t="s">
        <v>104</v>
      </c>
      <c r="C7" s="26" t="s">
        <v>181</v>
      </c>
      <c r="D7" s="31">
        <v>0.21</v>
      </c>
      <c r="E7" s="218">
        <v>0.85999999999999988</v>
      </c>
      <c r="F7" s="26" t="s">
        <v>177</v>
      </c>
      <c r="G7" s="32" t="s">
        <v>31</v>
      </c>
    </row>
    <row r="8" spans="1:9" ht="15" customHeight="1" x14ac:dyDescent="0.2">
      <c r="A8" s="26" t="str">
        <f t="shared" si="0"/>
        <v>Bedford-Bedford County</v>
      </c>
      <c r="B8" s="27" t="s">
        <v>92</v>
      </c>
      <c r="C8" s="26" t="s">
        <v>182</v>
      </c>
      <c r="D8" s="31">
        <v>0.22</v>
      </c>
      <c r="E8" s="218">
        <v>0.83999999999999986</v>
      </c>
      <c r="F8" s="26" t="s">
        <v>59</v>
      </c>
      <c r="G8" s="32" t="s">
        <v>31</v>
      </c>
    </row>
    <row r="9" spans="1:9" ht="15" customHeight="1" x14ac:dyDescent="0.2">
      <c r="A9" s="26" t="str">
        <f t="shared" si="0"/>
        <v>Bedford-Bell Buckle</v>
      </c>
      <c r="B9" s="27" t="s">
        <v>92</v>
      </c>
      <c r="C9" s="26" t="s">
        <v>183</v>
      </c>
      <c r="D9" s="31">
        <v>0.27</v>
      </c>
      <c r="E9" s="218">
        <v>0.92999999999999994</v>
      </c>
      <c r="F9" s="26" t="s">
        <v>177</v>
      </c>
      <c r="G9" s="32" t="s">
        <v>31</v>
      </c>
    </row>
    <row r="10" spans="1:9" ht="15" customHeight="1" x14ac:dyDescent="0.2">
      <c r="A10" s="26" t="str">
        <f t="shared" si="0"/>
        <v>Bedford-Normandy</v>
      </c>
      <c r="B10" s="27" t="s">
        <v>92</v>
      </c>
      <c r="C10" s="26" t="s">
        <v>184</v>
      </c>
      <c r="D10" s="31">
        <v>0.15</v>
      </c>
      <c r="E10" s="218">
        <v>0.94</v>
      </c>
      <c r="F10" s="26" t="s">
        <v>177</v>
      </c>
      <c r="G10" s="32" t="s">
        <v>31</v>
      </c>
    </row>
    <row r="11" spans="1:9" x14ac:dyDescent="0.2">
      <c r="A11" s="26" t="str">
        <f t="shared" si="0"/>
        <v>Bedford-Shelbyville</v>
      </c>
      <c r="B11" s="27" t="s">
        <v>92</v>
      </c>
      <c r="C11" s="26" t="s">
        <v>185</v>
      </c>
      <c r="D11" s="31">
        <v>0.2</v>
      </c>
      <c r="E11" s="218">
        <v>0.83999999999999986</v>
      </c>
      <c r="F11" s="26" t="s">
        <v>177</v>
      </c>
      <c r="G11" s="32" t="s">
        <v>31</v>
      </c>
    </row>
    <row r="12" spans="1:9" ht="15" customHeight="1" x14ac:dyDescent="0.2">
      <c r="A12" s="26" t="str">
        <f t="shared" si="0"/>
        <v>Bedford-Wartrace</v>
      </c>
      <c r="B12" s="27" t="s">
        <v>92</v>
      </c>
      <c r="C12" s="26" t="s">
        <v>186</v>
      </c>
      <c r="D12" s="31">
        <v>0.18</v>
      </c>
      <c r="E12" s="218">
        <v>0.95</v>
      </c>
      <c r="F12" s="26" t="s">
        <v>177</v>
      </c>
      <c r="G12" s="32" t="s">
        <v>31</v>
      </c>
    </row>
    <row r="13" spans="1:9" ht="15" customHeight="1" x14ac:dyDescent="0.2">
      <c r="A13" s="26" t="str">
        <f t="shared" si="0"/>
        <v>Benton-Benton County</v>
      </c>
      <c r="B13" s="27" t="s">
        <v>105</v>
      </c>
      <c r="C13" s="26" t="s">
        <v>187</v>
      </c>
      <c r="D13" s="31">
        <v>0.17</v>
      </c>
      <c r="E13" s="218">
        <v>0.87999999999999989</v>
      </c>
      <c r="F13" s="26" t="s">
        <v>59</v>
      </c>
      <c r="G13" s="32" t="s">
        <v>31</v>
      </c>
    </row>
    <row r="14" spans="1:9" ht="15" customHeight="1" x14ac:dyDescent="0.2">
      <c r="A14" s="26" t="str">
        <f t="shared" si="0"/>
        <v>Benton-Big Sandy</v>
      </c>
      <c r="B14" s="27" t="s">
        <v>105</v>
      </c>
      <c r="C14" s="26" t="s">
        <v>188</v>
      </c>
      <c r="D14" s="31">
        <v>0.11</v>
      </c>
      <c r="E14" s="218">
        <v>0.91999999999999993</v>
      </c>
      <c r="F14" s="26" t="s">
        <v>177</v>
      </c>
      <c r="G14" s="32" t="s">
        <v>31</v>
      </c>
    </row>
    <row r="15" spans="1:9" ht="15" customHeight="1" x14ac:dyDescent="0.2">
      <c r="A15" s="26" t="str">
        <f t="shared" si="0"/>
        <v>Benton-Camden</v>
      </c>
      <c r="B15" s="27" t="s">
        <v>105</v>
      </c>
      <c r="C15" s="26" t="s">
        <v>189</v>
      </c>
      <c r="D15" s="31">
        <v>0.15</v>
      </c>
      <c r="E15" s="218">
        <v>0.78999999999999981</v>
      </c>
      <c r="F15" s="26" t="s">
        <v>177</v>
      </c>
      <c r="G15" s="32" t="s">
        <v>31</v>
      </c>
    </row>
    <row r="16" spans="1:9" ht="15" customHeight="1" x14ac:dyDescent="0.2">
      <c r="A16" s="26" t="str">
        <f t="shared" si="0"/>
        <v>Bledsoe-Bledsoe County</v>
      </c>
      <c r="B16" s="27" t="s">
        <v>85</v>
      </c>
      <c r="C16" s="26" t="s">
        <v>190</v>
      </c>
      <c r="D16" s="31">
        <v>0.13</v>
      </c>
      <c r="E16" s="218">
        <v>0.8899999999999999</v>
      </c>
      <c r="F16" s="26" t="s">
        <v>59</v>
      </c>
      <c r="G16" s="32" t="s">
        <v>31</v>
      </c>
    </row>
    <row r="17" spans="1:7" ht="15" customHeight="1" x14ac:dyDescent="0.2">
      <c r="A17" s="26" t="str">
        <f t="shared" si="0"/>
        <v>Bledsoe-Pikeville</v>
      </c>
      <c r="B17" s="27" t="s">
        <v>85</v>
      </c>
      <c r="C17" s="26" t="s">
        <v>191</v>
      </c>
      <c r="D17" s="31">
        <v>0.1</v>
      </c>
      <c r="E17" s="218">
        <v>0.85999999999999988</v>
      </c>
      <c r="F17" s="26" t="s">
        <v>177</v>
      </c>
      <c r="G17" s="32" t="s">
        <v>31</v>
      </c>
    </row>
    <row r="18" spans="1:7" ht="15" customHeight="1" x14ac:dyDescent="0.2">
      <c r="A18" s="26" t="str">
        <f t="shared" si="0"/>
        <v>Blount-Blount County</v>
      </c>
      <c r="B18" s="27" t="s">
        <v>81</v>
      </c>
      <c r="C18" s="26" t="s">
        <v>192</v>
      </c>
      <c r="D18" s="31">
        <v>0.26</v>
      </c>
      <c r="E18" s="218">
        <v>0.74999999999999978</v>
      </c>
      <c r="F18" s="26" t="s">
        <v>59</v>
      </c>
      <c r="G18" s="32" t="s">
        <v>31</v>
      </c>
    </row>
    <row r="19" spans="1:7" ht="15" customHeight="1" x14ac:dyDescent="0.2">
      <c r="A19" s="26" t="str">
        <f t="shared" si="0"/>
        <v>Blount-Alcoa</v>
      </c>
      <c r="B19" s="27" t="s">
        <v>81</v>
      </c>
      <c r="C19" s="26" t="s">
        <v>193</v>
      </c>
      <c r="D19" s="31">
        <v>0.25</v>
      </c>
      <c r="E19" s="218">
        <v>0.59999999999999964</v>
      </c>
      <c r="F19" s="26" t="s">
        <v>177</v>
      </c>
      <c r="G19" s="32" t="s">
        <v>31</v>
      </c>
    </row>
    <row r="20" spans="1:7" ht="15" customHeight="1" x14ac:dyDescent="0.2">
      <c r="A20" s="26" t="str">
        <f t="shared" si="0"/>
        <v>Blount-Friendsville</v>
      </c>
      <c r="B20" s="27" t="s">
        <v>81</v>
      </c>
      <c r="C20" s="26" t="s">
        <v>194</v>
      </c>
      <c r="D20" s="31">
        <v>0.27</v>
      </c>
      <c r="E20" s="218">
        <v>0.74999999999999978</v>
      </c>
      <c r="F20" s="26" t="s">
        <v>177</v>
      </c>
      <c r="G20" s="32" t="s">
        <v>31</v>
      </c>
    </row>
    <row r="21" spans="1:7" ht="15" customHeight="1" x14ac:dyDescent="0.2">
      <c r="A21" s="26" t="str">
        <f t="shared" si="0"/>
        <v>Blount-Louisville</v>
      </c>
      <c r="B21" s="27" t="s">
        <v>81</v>
      </c>
      <c r="C21" s="26" t="s">
        <v>195</v>
      </c>
      <c r="D21" s="31">
        <v>0.28999999999999998</v>
      </c>
      <c r="E21" s="218">
        <v>0.78999999999999981</v>
      </c>
      <c r="F21" s="26" t="s">
        <v>177</v>
      </c>
      <c r="G21" s="32" t="s">
        <v>31</v>
      </c>
    </row>
    <row r="22" spans="1:7" ht="15" customHeight="1" x14ac:dyDescent="0.2">
      <c r="A22" s="26" t="str">
        <f t="shared" si="0"/>
        <v>Blount-Maryville</v>
      </c>
      <c r="B22" s="27" t="s">
        <v>81</v>
      </c>
      <c r="C22" s="26" t="s">
        <v>196</v>
      </c>
      <c r="D22" s="31">
        <v>0.27</v>
      </c>
      <c r="E22" s="218">
        <v>0.69999999999999973</v>
      </c>
      <c r="F22" s="26" t="s">
        <v>177</v>
      </c>
      <c r="G22" s="32" t="s">
        <v>31</v>
      </c>
    </row>
    <row r="23" spans="1:7" ht="15" customHeight="1" x14ac:dyDescent="0.2">
      <c r="A23" s="26" t="str">
        <f t="shared" si="0"/>
        <v>Blount-Rockford</v>
      </c>
      <c r="B23" s="27" t="s">
        <v>81</v>
      </c>
      <c r="C23" s="26" t="s">
        <v>197</v>
      </c>
      <c r="D23" s="31">
        <v>0.24</v>
      </c>
      <c r="E23" s="218">
        <v>0.78999999999999981</v>
      </c>
      <c r="F23" s="26" t="s">
        <v>177</v>
      </c>
      <c r="G23" s="32" t="s">
        <v>31</v>
      </c>
    </row>
    <row r="24" spans="1:7" ht="15" customHeight="1" x14ac:dyDescent="0.2">
      <c r="A24" s="26" t="str">
        <f t="shared" si="0"/>
        <v>Blount-Townsend</v>
      </c>
      <c r="B24" s="27" t="s">
        <v>81</v>
      </c>
      <c r="C24" s="26" t="s">
        <v>198</v>
      </c>
      <c r="D24" s="31">
        <v>0.25</v>
      </c>
      <c r="E24" s="218">
        <v>0.63999999999999968</v>
      </c>
      <c r="F24" s="26" t="s">
        <v>177</v>
      </c>
      <c r="G24" s="32" t="s">
        <v>31</v>
      </c>
    </row>
    <row r="25" spans="1:7" ht="15" customHeight="1" x14ac:dyDescent="0.2">
      <c r="A25" s="26" t="str">
        <f t="shared" si="0"/>
        <v>Bradley-Bradley County</v>
      </c>
      <c r="B25" s="27" t="s">
        <v>106</v>
      </c>
      <c r="C25" s="26" t="s">
        <v>199</v>
      </c>
      <c r="D25" s="31">
        <v>0.22</v>
      </c>
      <c r="E25" s="218">
        <v>0.80999999999999983</v>
      </c>
      <c r="F25" s="26" t="s">
        <v>59</v>
      </c>
      <c r="G25" s="32" t="s">
        <v>31</v>
      </c>
    </row>
    <row r="26" spans="1:7" ht="15" customHeight="1" x14ac:dyDescent="0.2">
      <c r="A26" s="26" t="str">
        <f t="shared" si="0"/>
        <v>Bradley-Charleston</v>
      </c>
      <c r="B26" s="27" t="s">
        <v>106</v>
      </c>
      <c r="C26" s="26" t="s">
        <v>200</v>
      </c>
      <c r="D26" s="31">
        <v>0.26</v>
      </c>
      <c r="E26" s="218">
        <v>0.83999999999999986</v>
      </c>
      <c r="F26" s="26" t="s">
        <v>177</v>
      </c>
      <c r="G26" s="32" t="s">
        <v>31</v>
      </c>
    </row>
    <row r="27" spans="1:7" ht="15" customHeight="1" x14ac:dyDescent="0.2">
      <c r="A27" s="26" t="str">
        <f t="shared" si="0"/>
        <v>Bradley-Cleveland</v>
      </c>
      <c r="B27" s="27" t="s">
        <v>106</v>
      </c>
      <c r="C27" s="26" t="s">
        <v>201</v>
      </c>
      <c r="D27" s="31">
        <v>0.21</v>
      </c>
      <c r="E27" s="218">
        <v>0.72999999999999976</v>
      </c>
      <c r="F27" s="26" t="s">
        <v>177</v>
      </c>
      <c r="G27" s="32" t="s">
        <v>31</v>
      </c>
    </row>
    <row r="28" spans="1:7" ht="15" customHeight="1" x14ac:dyDescent="0.2">
      <c r="A28" s="26" t="str">
        <f t="shared" si="0"/>
        <v>Campbell-Campbell County</v>
      </c>
      <c r="B28" s="27" t="s">
        <v>107</v>
      </c>
      <c r="C28" s="26" t="s">
        <v>202</v>
      </c>
      <c r="D28" s="31">
        <v>0.14000000000000001</v>
      </c>
      <c r="E28" s="218">
        <v>0.83999999999999986</v>
      </c>
      <c r="F28" s="26" t="s">
        <v>59</v>
      </c>
      <c r="G28" s="32" t="s">
        <v>31</v>
      </c>
    </row>
    <row r="29" spans="1:7" ht="15" customHeight="1" x14ac:dyDescent="0.2">
      <c r="A29" s="26" t="str">
        <f t="shared" si="0"/>
        <v>Campbell-Caryville</v>
      </c>
      <c r="B29" s="27" t="s">
        <v>107</v>
      </c>
      <c r="C29" s="26" t="s">
        <v>203</v>
      </c>
      <c r="D29" s="31">
        <v>0.15</v>
      </c>
      <c r="E29" s="218">
        <v>0.85999999999999988</v>
      </c>
      <c r="F29" s="26" t="s">
        <v>177</v>
      </c>
      <c r="G29" s="32" t="s">
        <v>31</v>
      </c>
    </row>
    <row r="30" spans="1:7" ht="15" customHeight="1" x14ac:dyDescent="0.2">
      <c r="A30" s="26" t="str">
        <f t="shared" si="0"/>
        <v>Campbell-Jacksboro</v>
      </c>
      <c r="B30" s="27" t="s">
        <v>107</v>
      </c>
      <c r="C30" s="26" t="s">
        <v>204</v>
      </c>
      <c r="D30" s="31">
        <v>0.22</v>
      </c>
      <c r="E30" s="218">
        <v>0.71999999999999975</v>
      </c>
      <c r="F30" s="26" t="s">
        <v>177</v>
      </c>
      <c r="G30" s="32" t="s">
        <v>31</v>
      </c>
    </row>
    <row r="31" spans="1:7" ht="15" customHeight="1" x14ac:dyDescent="0.2">
      <c r="A31" s="26" t="str">
        <f t="shared" si="0"/>
        <v>Campbell-Jellico</v>
      </c>
      <c r="B31" s="27" t="s">
        <v>107</v>
      </c>
      <c r="C31" s="26" t="s">
        <v>205</v>
      </c>
      <c r="D31" s="31">
        <v>0.1</v>
      </c>
      <c r="E31" s="218">
        <v>0.8899999999999999</v>
      </c>
      <c r="F31" s="26" t="s">
        <v>177</v>
      </c>
      <c r="G31" s="32" t="s">
        <v>31</v>
      </c>
    </row>
    <row r="32" spans="1:7" ht="15" customHeight="1" x14ac:dyDescent="0.2">
      <c r="A32" s="26" t="str">
        <f t="shared" si="0"/>
        <v>Campbell-La Follette</v>
      </c>
      <c r="B32" s="27" t="s">
        <v>107</v>
      </c>
      <c r="C32" s="26" t="s">
        <v>206</v>
      </c>
      <c r="D32" s="31">
        <v>0.11</v>
      </c>
      <c r="E32" s="218">
        <v>0.83999999999999986</v>
      </c>
      <c r="F32" s="26" t="s">
        <v>177</v>
      </c>
      <c r="G32" s="32" t="s">
        <v>31</v>
      </c>
    </row>
    <row r="33" spans="1:7" ht="15" customHeight="1" x14ac:dyDescent="0.2">
      <c r="A33" s="26" t="str">
        <f t="shared" si="0"/>
        <v>Campbell-Rocky Top (Lake City)</v>
      </c>
      <c r="B33" s="27" t="s">
        <v>107</v>
      </c>
      <c r="C33" s="26" t="s">
        <v>178</v>
      </c>
      <c r="D33" s="31">
        <v>0.13</v>
      </c>
      <c r="E33" s="218">
        <v>0.86999999999999988</v>
      </c>
      <c r="F33" s="26" t="s">
        <v>177</v>
      </c>
      <c r="G33" s="32" t="s">
        <v>31</v>
      </c>
    </row>
    <row r="34" spans="1:7" ht="15" customHeight="1" x14ac:dyDescent="0.2">
      <c r="A34" s="26" t="str">
        <f t="shared" si="0"/>
        <v>Cannon-Cannon County</v>
      </c>
      <c r="B34" s="27" t="s">
        <v>108</v>
      </c>
      <c r="C34" s="26" t="s">
        <v>207</v>
      </c>
      <c r="D34" s="31">
        <v>0.24</v>
      </c>
      <c r="E34" s="218">
        <v>0.87999999999999989</v>
      </c>
      <c r="F34" s="26" t="s">
        <v>59</v>
      </c>
      <c r="G34" s="32" t="s">
        <v>31</v>
      </c>
    </row>
    <row r="35" spans="1:7" ht="15" customHeight="1" x14ac:dyDescent="0.2">
      <c r="A35" s="26" t="str">
        <f t="shared" si="0"/>
        <v>Cannon-Auburntown</v>
      </c>
      <c r="B35" s="27" t="s">
        <v>108</v>
      </c>
      <c r="C35" s="26" t="s">
        <v>208</v>
      </c>
      <c r="D35" s="31">
        <v>0.24</v>
      </c>
      <c r="E35" s="218">
        <v>0.90999999999999992</v>
      </c>
      <c r="F35" s="26" t="s">
        <v>177</v>
      </c>
      <c r="G35" s="32" t="s">
        <v>31</v>
      </c>
    </row>
    <row r="36" spans="1:7" ht="15" customHeight="1" x14ac:dyDescent="0.2">
      <c r="A36" s="26" t="str">
        <f t="shared" si="0"/>
        <v>Cannon-Woodbury</v>
      </c>
      <c r="B36" s="27" t="s">
        <v>108</v>
      </c>
      <c r="C36" s="26" t="s">
        <v>209</v>
      </c>
      <c r="D36" s="31">
        <v>0.18</v>
      </c>
      <c r="E36" s="218">
        <v>0.83999999999999986</v>
      </c>
      <c r="F36" s="26" t="s">
        <v>177</v>
      </c>
      <c r="G36" s="32" t="s">
        <v>31</v>
      </c>
    </row>
    <row r="37" spans="1:7" ht="15" customHeight="1" x14ac:dyDescent="0.2">
      <c r="A37" s="26" t="str">
        <f t="shared" si="0"/>
        <v>Carroll-Carroll County</v>
      </c>
      <c r="B37" s="27" t="s">
        <v>109</v>
      </c>
      <c r="C37" s="26" t="s">
        <v>210</v>
      </c>
      <c r="D37" s="31">
        <v>0.19</v>
      </c>
      <c r="E37" s="218">
        <v>0.8899999999999999</v>
      </c>
      <c r="F37" s="26" t="s">
        <v>59</v>
      </c>
      <c r="G37" s="32" t="s">
        <v>31</v>
      </c>
    </row>
    <row r="38" spans="1:7" ht="15" customHeight="1" x14ac:dyDescent="0.2">
      <c r="A38" s="26" t="str">
        <f t="shared" si="0"/>
        <v>Carroll-Atwood</v>
      </c>
      <c r="B38" s="27" t="s">
        <v>109</v>
      </c>
      <c r="C38" s="26" t="s">
        <v>211</v>
      </c>
      <c r="D38" s="31">
        <v>0.18</v>
      </c>
      <c r="E38" s="218">
        <v>0.90999999999999992</v>
      </c>
      <c r="F38" s="26" t="s">
        <v>177</v>
      </c>
      <c r="G38" s="32" t="s">
        <v>31</v>
      </c>
    </row>
    <row r="39" spans="1:7" ht="15" customHeight="1" x14ac:dyDescent="0.2">
      <c r="A39" s="26" t="str">
        <f t="shared" si="0"/>
        <v>Carroll-Bruceton</v>
      </c>
      <c r="B39" s="27" t="s">
        <v>109</v>
      </c>
      <c r="C39" s="26" t="s">
        <v>212</v>
      </c>
      <c r="D39" s="31">
        <v>0.16</v>
      </c>
      <c r="E39" s="218">
        <v>0.95</v>
      </c>
      <c r="F39" s="26" t="s">
        <v>177</v>
      </c>
      <c r="G39" s="32" t="s">
        <v>31</v>
      </c>
    </row>
    <row r="40" spans="1:7" ht="15" customHeight="1" x14ac:dyDescent="0.2">
      <c r="A40" s="26" t="str">
        <f t="shared" si="0"/>
        <v>Carroll-Clarksburg</v>
      </c>
      <c r="B40" s="27" t="s">
        <v>109</v>
      </c>
      <c r="C40" s="26" t="s">
        <v>213</v>
      </c>
      <c r="D40" s="31">
        <v>0.26</v>
      </c>
      <c r="E40" s="218">
        <v>0.8899999999999999</v>
      </c>
      <c r="F40" s="26" t="s">
        <v>177</v>
      </c>
      <c r="G40" s="32" t="s">
        <v>31</v>
      </c>
    </row>
    <row r="41" spans="1:7" ht="15" customHeight="1" x14ac:dyDescent="0.2">
      <c r="A41" s="26" t="str">
        <f t="shared" si="0"/>
        <v>Carroll-Hollow Rock</v>
      </c>
      <c r="B41" s="27" t="s">
        <v>109</v>
      </c>
      <c r="C41" s="26" t="s">
        <v>214</v>
      </c>
      <c r="D41" s="31">
        <v>0.15</v>
      </c>
      <c r="E41" s="218">
        <v>0.96</v>
      </c>
      <c r="F41" s="26" t="s">
        <v>177</v>
      </c>
      <c r="G41" s="32" t="s">
        <v>31</v>
      </c>
    </row>
    <row r="42" spans="1:7" ht="15" customHeight="1" x14ac:dyDescent="0.2">
      <c r="A42" s="26" t="str">
        <f t="shared" si="0"/>
        <v>Carroll-Huntingdon</v>
      </c>
      <c r="B42" s="27" t="s">
        <v>109</v>
      </c>
      <c r="C42" s="26" t="s">
        <v>215</v>
      </c>
      <c r="D42" s="31">
        <v>0.11</v>
      </c>
      <c r="E42" s="218">
        <v>0.78999999999999981</v>
      </c>
      <c r="F42" s="26" t="s">
        <v>177</v>
      </c>
      <c r="G42" s="32" t="s">
        <v>31</v>
      </c>
    </row>
    <row r="43" spans="1:7" ht="15" customHeight="1" x14ac:dyDescent="0.2">
      <c r="A43" s="26" t="str">
        <f t="shared" si="0"/>
        <v>Carroll-McKenzie</v>
      </c>
      <c r="B43" s="27" t="s">
        <v>109</v>
      </c>
      <c r="C43" s="26" t="s">
        <v>216</v>
      </c>
      <c r="D43" s="31">
        <v>0.15</v>
      </c>
      <c r="E43" s="218">
        <v>0.89999999999999991</v>
      </c>
      <c r="F43" s="26" t="s">
        <v>177</v>
      </c>
      <c r="G43" s="32" t="s">
        <v>31</v>
      </c>
    </row>
    <row r="44" spans="1:7" x14ac:dyDescent="0.2">
      <c r="A44" s="26" t="str">
        <f t="shared" si="0"/>
        <v>Carroll-McLemoresville</v>
      </c>
      <c r="B44" s="27" t="s">
        <v>109</v>
      </c>
      <c r="C44" s="26" t="s">
        <v>217</v>
      </c>
      <c r="D44" s="31">
        <v>0.26</v>
      </c>
      <c r="E44" s="218">
        <v>0.96</v>
      </c>
      <c r="F44" s="26" t="s">
        <v>177</v>
      </c>
      <c r="G44" s="32" t="s">
        <v>31</v>
      </c>
    </row>
    <row r="45" spans="1:7" ht="15" customHeight="1" x14ac:dyDescent="0.2">
      <c r="A45" s="26" t="str">
        <f t="shared" si="0"/>
        <v>Carroll-Trezevant</v>
      </c>
      <c r="B45" s="27" t="s">
        <v>109</v>
      </c>
      <c r="C45" s="26" t="s">
        <v>218</v>
      </c>
      <c r="D45" s="31">
        <v>0.16</v>
      </c>
      <c r="E45" s="218">
        <v>0.96</v>
      </c>
      <c r="F45" s="26" t="s">
        <v>177</v>
      </c>
      <c r="G45" s="32" t="s">
        <v>31</v>
      </c>
    </row>
    <row r="46" spans="1:7" ht="15" customHeight="1" x14ac:dyDescent="0.2">
      <c r="A46" s="26" t="str">
        <f t="shared" si="0"/>
        <v>Carter-Carter County</v>
      </c>
      <c r="B46" s="27" t="s">
        <v>110</v>
      </c>
      <c r="C46" s="26" t="s">
        <v>219</v>
      </c>
      <c r="D46" s="31">
        <v>0.17</v>
      </c>
      <c r="E46" s="218">
        <v>0.87999999999999989</v>
      </c>
      <c r="F46" s="26" t="s">
        <v>59</v>
      </c>
      <c r="G46" s="32" t="s">
        <v>31</v>
      </c>
    </row>
    <row r="47" spans="1:7" ht="15" customHeight="1" x14ac:dyDescent="0.2">
      <c r="A47" s="26" t="str">
        <f t="shared" si="0"/>
        <v>Carter-Elizabethton</v>
      </c>
      <c r="B47" s="27" t="s">
        <v>110</v>
      </c>
      <c r="C47" s="26" t="s">
        <v>220</v>
      </c>
      <c r="D47" s="31">
        <v>0.16</v>
      </c>
      <c r="E47" s="218">
        <v>0.82999999999999985</v>
      </c>
      <c r="F47" s="26" t="s">
        <v>177</v>
      </c>
      <c r="G47" s="32" t="s">
        <v>31</v>
      </c>
    </row>
    <row r="48" spans="1:7" ht="15" customHeight="1" x14ac:dyDescent="0.2">
      <c r="A48" s="26" t="str">
        <f t="shared" si="0"/>
        <v>Carter-Johnson City</v>
      </c>
      <c r="B48" s="27" t="s">
        <v>110</v>
      </c>
      <c r="C48" s="26" t="s">
        <v>221</v>
      </c>
      <c r="D48" s="31">
        <v>0.21</v>
      </c>
      <c r="E48" s="218">
        <v>0.70999999999999974</v>
      </c>
      <c r="F48" s="26" t="s">
        <v>177</v>
      </c>
      <c r="G48" s="32" t="s">
        <v>31</v>
      </c>
    </row>
    <row r="49" spans="1:7" ht="15" customHeight="1" x14ac:dyDescent="0.2">
      <c r="A49" s="26" t="str">
        <f t="shared" si="0"/>
        <v>Carter-Watauga</v>
      </c>
      <c r="B49" s="33" t="s">
        <v>110</v>
      </c>
      <c r="C49" s="34" t="s">
        <v>222</v>
      </c>
      <c r="D49" s="31">
        <v>0.15</v>
      </c>
      <c r="E49" s="218">
        <v>0.83999999999999986</v>
      </c>
      <c r="F49" s="26" t="s">
        <v>177</v>
      </c>
      <c r="G49" s="32" t="s">
        <v>31</v>
      </c>
    </row>
    <row r="50" spans="1:7" ht="15" customHeight="1" x14ac:dyDescent="0.2">
      <c r="A50" s="26" t="str">
        <f t="shared" si="0"/>
        <v>Cheatham-Cheatham County</v>
      </c>
      <c r="B50" s="27" t="s">
        <v>111</v>
      </c>
      <c r="C50" s="26" t="s">
        <v>223</v>
      </c>
      <c r="D50" s="31">
        <v>0.28000000000000003</v>
      </c>
      <c r="E50" s="218">
        <v>0.83999999999999986</v>
      </c>
      <c r="F50" s="26" t="s">
        <v>59</v>
      </c>
      <c r="G50" s="32" t="s">
        <v>31</v>
      </c>
    </row>
    <row r="51" spans="1:7" ht="15" customHeight="1" x14ac:dyDescent="0.2">
      <c r="A51" s="26" t="str">
        <f t="shared" si="0"/>
        <v>Cheatham-Ashland City</v>
      </c>
      <c r="B51" s="27" t="s">
        <v>111</v>
      </c>
      <c r="C51" s="26" t="s">
        <v>224</v>
      </c>
      <c r="D51" s="31">
        <v>0.26</v>
      </c>
      <c r="E51" s="218">
        <v>0.6599999999999997</v>
      </c>
      <c r="F51" s="26" t="s">
        <v>177</v>
      </c>
      <c r="G51" s="32" t="s">
        <v>31</v>
      </c>
    </row>
    <row r="52" spans="1:7" ht="15" customHeight="1" x14ac:dyDescent="0.2">
      <c r="A52" s="26" t="str">
        <f t="shared" si="0"/>
        <v>Cheatham-Kingston Springs</v>
      </c>
      <c r="B52" s="27" t="s">
        <v>111</v>
      </c>
      <c r="C52" s="26" t="s">
        <v>225</v>
      </c>
      <c r="D52" s="31">
        <v>0.28999999999999998</v>
      </c>
      <c r="E52" s="218">
        <v>0.74999999999999978</v>
      </c>
      <c r="F52" s="26" t="s">
        <v>177</v>
      </c>
      <c r="G52" s="32" t="s">
        <v>31</v>
      </c>
    </row>
    <row r="53" spans="1:7" ht="15" customHeight="1" x14ac:dyDescent="0.2">
      <c r="A53" s="26" t="str">
        <f t="shared" si="0"/>
        <v>Cheatham-Pegram</v>
      </c>
      <c r="B53" s="27" t="s">
        <v>111</v>
      </c>
      <c r="C53" s="26" t="s">
        <v>226</v>
      </c>
      <c r="D53" s="31">
        <v>0.28999999999999998</v>
      </c>
      <c r="E53" s="218">
        <v>0.83999999999999986</v>
      </c>
      <c r="F53" s="26" t="s">
        <v>177</v>
      </c>
      <c r="G53" s="32" t="s">
        <v>31</v>
      </c>
    </row>
    <row r="54" spans="1:7" ht="15" customHeight="1" x14ac:dyDescent="0.2">
      <c r="A54" s="26" t="str">
        <f t="shared" si="0"/>
        <v>Cheatham-Pleasant View</v>
      </c>
      <c r="B54" s="27" t="s">
        <v>111</v>
      </c>
      <c r="C54" s="26" t="s">
        <v>227</v>
      </c>
      <c r="D54" s="31">
        <v>0.28999999999999998</v>
      </c>
      <c r="E54" s="218">
        <v>0.83999999999999986</v>
      </c>
      <c r="F54" s="26" t="s">
        <v>177</v>
      </c>
      <c r="G54" s="32" t="s">
        <v>31</v>
      </c>
    </row>
    <row r="55" spans="1:7" ht="15" customHeight="1" x14ac:dyDescent="0.2">
      <c r="A55" s="26" t="str">
        <f t="shared" si="0"/>
        <v>Chester-Chester County</v>
      </c>
      <c r="B55" s="27" t="s">
        <v>76</v>
      </c>
      <c r="C55" s="26" t="s">
        <v>228</v>
      </c>
      <c r="D55" s="31">
        <v>0.24</v>
      </c>
      <c r="E55" s="218">
        <v>0.89999999999999991</v>
      </c>
      <c r="F55" s="26" t="s">
        <v>59</v>
      </c>
      <c r="G55" s="32" t="s">
        <v>31</v>
      </c>
    </row>
    <row r="56" spans="1:7" ht="15" customHeight="1" x14ac:dyDescent="0.2">
      <c r="A56" s="26" t="str">
        <f t="shared" si="0"/>
        <v>Chester-Enville</v>
      </c>
      <c r="B56" s="27" t="s">
        <v>76</v>
      </c>
      <c r="C56" s="26" t="s">
        <v>229</v>
      </c>
      <c r="D56" s="31">
        <v>0.27</v>
      </c>
      <c r="E56" s="218">
        <v>0.90999999999999992</v>
      </c>
      <c r="F56" s="26" t="s">
        <v>177</v>
      </c>
      <c r="G56" s="32" t="s">
        <v>31</v>
      </c>
    </row>
    <row r="57" spans="1:7" ht="15" customHeight="1" x14ac:dyDescent="0.2">
      <c r="A57" s="26" t="str">
        <f t="shared" si="0"/>
        <v>Chester-Henderson</v>
      </c>
      <c r="B57" s="27" t="s">
        <v>76</v>
      </c>
      <c r="C57" s="26" t="s">
        <v>75</v>
      </c>
      <c r="D57" s="31">
        <v>0.19</v>
      </c>
      <c r="E57" s="218">
        <v>0.89999999999999991</v>
      </c>
      <c r="F57" s="26" t="s">
        <v>177</v>
      </c>
      <c r="G57" s="32" t="s">
        <v>31</v>
      </c>
    </row>
    <row r="58" spans="1:7" ht="15" customHeight="1" x14ac:dyDescent="0.2">
      <c r="A58" s="26" t="str">
        <f t="shared" si="0"/>
        <v>Chester-Milledgeville</v>
      </c>
      <c r="B58" s="27" t="s">
        <v>76</v>
      </c>
      <c r="C58" s="34" t="s">
        <v>230</v>
      </c>
      <c r="D58" s="31">
        <v>0.19</v>
      </c>
      <c r="E58" s="218">
        <v>0.85999999999999988</v>
      </c>
      <c r="F58" s="26" t="s">
        <v>177</v>
      </c>
      <c r="G58" s="32" t="s">
        <v>31</v>
      </c>
    </row>
    <row r="59" spans="1:7" ht="15" customHeight="1" x14ac:dyDescent="0.2">
      <c r="A59" s="26" t="str">
        <f t="shared" si="0"/>
        <v>Chester-Silerton</v>
      </c>
      <c r="B59" s="27" t="s">
        <v>76</v>
      </c>
      <c r="C59" s="26" t="s">
        <v>231</v>
      </c>
      <c r="D59" s="31">
        <v>0.22</v>
      </c>
      <c r="E59" s="218">
        <v>0.96</v>
      </c>
      <c r="F59" s="26" t="s">
        <v>177</v>
      </c>
      <c r="G59" s="32" t="s">
        <v>31</v>
      </c>
    </row>
    <row r="60" spans="1:7" ht="15" customHeight="1" x14ac:dyDescent="0.2">
      <c r="A60" s="26" t="str">
        <f t="shared" si="0"/>
        <v>Claiborne-Claiborne County</v>
      </c>
      <c r="B60" s="27" t="s">
        <v>112</v>
      </c>
      <c r="C60" s="26" t="s">
        <v>232</v>
      </c>
      <c r="D60" s="31">
        <v>0.16</v>
      </c>
      <c r="E60" s="218">
        <v>0.86999999999999988</v>
      </c>
      <c r="F60" s="26" t="s">
        <v>59</v>
      </c>
      <c r="G60" s="32" t="s">
        <v>31</v>
      </c>
    </row>
    <row r="61" spans="1:7" ht="15" customHeight="1" x14ac:dyDescent="0.2">
      <c r="A61" s="26" t="str">
        <f t="shared" si="0"/>
        <v>Claiborne-Cumberland Gap</v>
      </c>
      <c r="B61" s="27" t="s">
        <v>112</v>
      </c>
      <c r="C61" s="26" t="s">
        <v>233</v>
      </c>
      <c r="D61" s="31">
        <v>0.22</v>
      </c>
      <c r="E61" s="218">
        <v>0.96</v>
      </c>
      <c r="F61" s="26" t="s">
        <v>177</v>
      </c>
      <c r="G61" s="32" t="s">
        <v>31</v>
      </c>
    </row>
    <row r="62" spans="1:7" ht="15" customHeight="1" x14ac:dyDescent="0.2">
      <c r="A62" s="26" t="str">
        <f t="shared" si="0"/>
        <v>Claiborne-Harrogate</v>
      </c>
      <c r="B62" s="27" t="s">
        <v>112</v>
      </c>
      <c r="C62" s="26" t="s">
        <v>234</v>
      </c>
      <c r="D62" s="31">
        <v>0.23</v>
      </c>
      <c r="E62" s="218">
        <v>0.8899999999999999</v>
      </c>
      <c r="F62" s="26" t="s">
        <v>177</v>
      </c>
      <c r="G62" s="32" t="s">
        <v>31</v>
      </c>
    </row>
    <row r="63" spans="1:7" ht="15" customHeight="1" x14ac:dyDescent="0.2">
      <c r="A63" s="26" t="str">
        <f t="shared" si="0"/>
        <v>Claiborne-New Tazewell</v>
      </c>
      <c r="B63" s="27" t="s">
        <v>112</v>
      </c>
      <c r="C63" s="26" t="s">
        <v>235</v>
      </c>
      <c r="D63" s="31">
        <v>0.16</v>
      </c>
      <c r="E63" s="218">
        <v>0.82999999999999985</v>
      </c>
      <c r="F63" s="26" t="s">
        <v>177</v>
      </c>
      <c r="G63" s="32" t="s">
        <v>31</v>
      </c>
    </row>
    <row r="64" spans="1:7" ht="15" customHeight="1" x14ac:dyDescent="0.2">
      <c r="A64" s="26" t="str">
        <f t="shared" si="0"/>
        <v>Claiborne-Tazewell</v>
      </c>
      <c r="B64" s="27" t="s">
        <v>112</v>
      </c>
      <c r="C64" s="26" t="s">
        <v>236</v>
      </c>
      <c r="D64" s="31">
        <v>0.16</v>
      </c>
      <c r="E64" s="218">
        <v>0.81999999999999984</v>
      </c>
      <c r="F64" s="26" t="s">
        <v>177</v>
      </c>
      <c r="G64" s="32" t="s">
        <v>31</v>
      </c>
    </row>
    <row r="65" spans="1:7" ht="15" customHeight="1" x14ac:dyDescent="0.2">
      <c r="A65" s="26" t="str">
        <f t="shared" si="0"/>
        <v>Clay-Clay County</v>
      </c>
      <c r="B65" s="27" t="s">
        <v>64</v>
      </c>
      <c r="C65" s="26" t="s">
        <v>237</v>
      </c>
      <c r="D65" s="31">
        <v>0.12</v>
      </c>
      <c r="E65" s="218">
        <v>0.8899999999999999</v>
      </c>
      <c r="F65" s="26" t="s">
        <v>59</v>
      </c>
      <c r="G65" s="32" t="s">
        <v>31</v>
      </c>
    </row>
    <row r="66" spans="1:7" ht="15" customHeight="1" x14ac:dyDescent="0.2">
      <c r="A66" s="26" t="str">
        <f t="shared" ref="A66:A126" si="1">B66&amp;"-"&amp;C66</f>
        <v>Clay-Celina</v>
      </c>
      <c r="B66" s="27" t="s">
        <v>64</v>
      </c>
      <c r="C66" s="26" t="s">
        <v>238</v>
      </c>
      <c r="D66" s="31">
        <v>0.11</v>
      </c>
      <c r="E66" s="218">
        <v>0.85999999999999988</v>
      </c>
      <c r="F66" s="26" t="s">
        <v>177</v>
      </c>
      <c r="G66" s="32" t="s">
        <v>31</v>
      </c>
    </row>
    <row r="67" spans="1:7" ht="15" customHeight="1" x14ac:dyDescent="0.2">
      <c r="A67" s="26" t="str">
        <f t="shared" si="1"/>
        <v>Cocke-Cocke County</v>
      </c>
      <c r="B67" s="27" t="s">
        <v>113</v>
      </c>
      <c r="C67" s="26" t="s">
        <v>239</v>
      </c>
      <c r="D67" s="31">
        <v>0.13</v>
      </c>
      <c r="E67" s="218">
        <v>0.85999999999999988</v>
      </c>
      <c r="F67" s="26" t="s">
        <v>59</v>
      </c>
      <c r="G67" s="32" t="s">
        <v>31</v>
      </c>
    </row>
    <row r="68" spans="1:7" ht="15" customHeight="1" x14ac:dyDescent="0.2">
      <c r="A68" s="26" t="str">
        <f t="shared" si="1"/>
        <v>Cocke-Newport</v>
      </c>
      <c r="B68" s="27" t="s">
        <v>113</v>
      </c>
      <c r="C68" s="26" t="s">
        <v>240</v>
      </c>
      <c r="D68" s="31">
        <v>0.1</v>
      </c>
      <c r="E68" s="218">
        <v>0.7699999999999998</v>
      </c>
      <c r="F68" s="26" t="s">
        <v>177</v>
      </c>
      <c r="G68" s="32" t="s">
        <v>31</v>
      </c>
    </row>
    <row r="69" spans="1:7" ht="15" customHeight="1" x14ac:dyDescent="0.2">
      <c r="A69" s="26" t="str">
        <f t="shared" si="1"/>
        <v>Cocke-Parrottsville</v>
      </c>
      <c r="B69" s="27" t="s">
        <v>113</v>
      </c>
      <c r="C69" s="26" t="s">
        <v>241</v>
      </c>
      <c r="D69" s="31">
        <v>0.21</v>
      </c>
      <c r="E69" s="218">
        <v>0.86999999999999988</v>
      </c>
      <c r="F69" s="26" t="s">
        <v>177</v>
      </c>
      <c r="G69" s="32" t="s">
        <v>31</v>
      </c>
    </row>
    <row r="70" spans="1:7" ht="15" customHeight="1" x14ac:dyDescent="0.2">
      <c r="A70" s="26" t="str">
        <f t="shared" si="1"/>
        <v>Coffee-Coffee County</v>
      </c>
      <c r="B70" s="27" t="s">
        <v>114</v>
      </c>
      <c r="C70" s="26" t="s">
        <v>242</v>
      </c>
      <c r="D70" s="31">
        <v>0.23</v>
      </c>
      <c r="E70" s="218">
        <v>0.80999999999999983</v>
      </c>
      <c r="F70" s="26" t="s">
        <v>59</v>
      </c>
      <c r="G70" s="32" t="s">
        <v>31</v>
      </c>
    </row>
    <row r="71" spans="1:7" ht="15" customHeight="1" x14ac:dyDescent="0.2">
      <c r="A71" s="26" t="str">
        <f t="shared" si="1"/>
        <v>Coffee-Manchester</v>
      </c>
      <c r="B71" s="27" t="s">
        <v>114</v>
      </c>
      <c r="C71" s="26" t="s">
        <v>243</v>
      </c>
      <c r="D71" s="31">
        <v>0.25</v>
      </c>
      <c r="E71" s="218">
        <v>0.78999999999999981</v>
      </c>
      <c r="F71" s="26" t="s">
        <v>177</v>
      </c>
      <c r="G71" s="32" t="s">
        <v>31</v>
      </c>
    </row>
    <row r="72" spans="1:7" ht="15" customHeight="1" x14ac:dyDescent="0.2">
      <c r="A72" s="26" t="str">
        <f t="shared" si="1"/>
        <v>Coffee-Tullahoma</v>
      </c>
      <c r="B72" s="27" t="s">
        <v>114</v>
      </c>
      <c r="C72" s="26" t="s">
        <v>244</v>
      </c>
      <c r="D72" s="31">
        <v>0.23</v>
      </c>
      <c r="E72" s="218">
        <v>0.78999999999999981</v>
      </c>
      <c r="F72" s="26" t="s">
        <v>177</v>
      </c>
      <c r="G72" s="32" t="s">
        <v>31</v>
      </c>
    </row>
    <row r="73" spans="1:7" ht="15" customHeight="1" x14ac:dyDescent="0.2">
      <c r="A73" s="26" t="str">
        <f t="shared" si="1"/>
        <v>Crockett-Crockett County</v>
      </c>
      <c r="B73" s="27" t="s">
        <v>115</v>
      </c>
      <c r="C73" s="26" t="s">
        <v>245</v>
      </c>
      <c r="D73" s="31">
        <v>0.2</v>
      </c>
      <c r="E73" s="218">
        <v>0.8899999999999999</v>
      </c>
      <c r="F73" s="26" t="s">
        <v>59</v>
      </c>
      <c r="G73" s="32" t="s">
        <v>31</v>
      </c>
    </row>
    <row r="74" spans="1:7" ht="15" customHeight="1" x14ac:dyDescent="0.2">
      <c r="A74" s="26" t="str">
        <f t="shared" si="1"/>
        <v>Crockett-Alamo</v>
      </c>
      <c r="B74" s="27" t="s">
        <v>115</v>
      </c>
      <c r="C74" s="26" t="s">
        <v>246</v>
      </c>
      <c r="D74" s="31">
        <v>0.19</v>
      </c>
      <c r="E74" s="218">
        <v>0.89999999999999991</v>
      </c>
      <c r="F74" s="26" t="s">
        <v>177</v>
      </c>
      <c r="G74" s="32" t="s">
        <v>31</v>
      </c>
    </row>
    <row r="75" spans="1:7" ht="15" customHeight="1" x14ac:dyDescent="0.2">
      <c r="A75" s="26" t="str">
        <f t="shared" si="1"/>
        <v>Crockett-Bells</v>
      </c>
      <c r="B75" s="27" t="s">
        <v>115</v>
      </c>
      <c r="C75" s="26" t="s">
        <v>247</v>
      </c>
      <c r="D75" s="31">
        <v>0.23</v>
      </c>
      <c r="E75" s="218">
        <v>0.89999999999999991</v>
      </c>
      <c r="F75" s="26" t="s">
        <v>177</v>
      </c>
      <c r="G75" s="32" t="s">
        <v>31</v>
      </c>
    </row>
    <row r="76" spans="1:7" ht="15" customHeight="1" x14ac:dyDescent="0.2">
      <c r="A76" s="26" t="str">
        <f t="shared" si="1"/>
        <v>Crockett-Friendship</v>
      </c>
      <c r="B76" s="27" t="s">
        <v>115</v>
      </c>
      <c r="C76" s="26" t="s">
        <v>248</v>
      </c>
      <c r="D76" s="31">
        <v>0.12</v>
      </c>
      <c r="E76" s="218">
        <v>0.96</v>
      </c>
      <c r="F76" s="26" t="s">
        <v>177</v>
      </c>
      <c r="G76" s="32" t="s">
        <v>31</v>
      </c>
    </row>
    <row r="77" spans="1:7" ht="15" customHeight="1" x14ac:dyDescent="0.2">
      <c r="A77" s="26" t="str">
        <f t="shared" si="1"/>
        <v>Crockett-Gadsden</v>
      </c>
      <c r="B77" s="27" t="s">
        <v>115</v>
      </c>
      <c r="C77" s="26" t="s">
        <v>249</v>
      </c>
      <c r="D77" s="31">
        <v>0.23</v>
      </c>
      <c r="E77" s="218">
        <v>0.89999999999999991</v>
      </c>
      <c r="F77" s="26" t="s">
        <v>177</v>
      </c>
      <c r="G77" s="32" t="s">
        <v>31</v>
      </c>
    </row>
    <row r="78" spans="1:7" ht="15" customHeight="1" x14ac:dyDescent="0.2">
      <c r="A78" s="26" t="str">
        <f t="shared" si="1"/>
        <v>Crockett-Maury City</v>
      </c>
      <c r="B78" s="27" t="s">
        <v>115</v>
      </c>
      <c r="C78" s="26" t="s">
        <v>250</v>
      </c>
      <c r="D78" s="31">
        <v>0.2</v>
      </c>
      <c r="E78" s="218">
        <v>0.91999999999999993</v>
      </c>
      <c r="F78" s="26" t="s">
        <v>177</v>
      </c>
      <c r="G78" s="32" t="s">
        <v>31</v>
      </c>
    </row>
    <row r="79" spans="1:7" ht="15" customHeight="1" x14ac:dyDescent="0.2">
      <c r="A79" s="26" t="str">
        <f t="shared" si="1"/>
        <v>Cumberland-Cumberland County</v>
      </c>
      <c r="B79" s="27" t="s">
        <v>116</v>
      </c>
      <c r="C79" s="26" t="s">
        <v>251</v>
      </c>
      <c r="D79" s="31">
        <v>0.21</v>
      </c>
      <c r="E79" s="218">
        <v>0.7699999999999998</v>
      </c>
      <c r="F79" s="26" t="s">
        <v>59</v>
      </c>
      <c r="G79" s="32" t="s">
        <v>31</v>
      </c>
    </row>
    <row r="80" spans="1:7" ht="15" customHeight="1" x14ac:dyDescent="0.2">
      <c r="A80" s="26" t="str">
        <f t="shared" si="1"/>
        <v>Cumberland-Crab Orchard</v>
      </c>
      <c r="B80" s="27" t="s">
        <v>116</v>
      </c>
      <c r="C80" s="26" t="s">
        <v>252</v>
      </c>
      <c r="D80" s="31">
        <v>0.12</v>
      </c>
      <c r="E80" s="218">
        <v>0.79999999999999982</v>
      </c>
      <c r="F80" s="26" t="s">
        <v>177</v>
      </c>
      <c r="G80" s="32" t="s">
        <v>31</v>
      </c>
    </row>
    <row r="81" spans="1:7" ht="15" customHeight="1" x14ac:dyDescent="0.2">
      <c r="A81" s="26" t="str">
        <f t="shared" si="1"/>
        <v>Cumberland-Crossville</v>
      </c>
      <c r="B81" s="27" t="s">
        <v>116</v>
      </c>
      <c r="C81" s="26" t="s">
        <v>253</v>
      </c>
      <c r="D81" s="31">
        <v>0.14000000000000001</v>
      </c>
      <c r="E81" s="218">
        <v>0.61999999999999966</v>
      </c>
      <c r="F81" s="26" t="s">
        <v>177</v>
      </c>
      <c r="G81" s="32" t="s">
        <v>31</v>
      </c>
    </row>
    <row r="82" spans="1:7" ht="15" customHeight="1" x14ac:dyDescent="0.2">
      <c r="A82" s="26" t="str">
        <f t="shared" si="1"/>
        <v>Cumberland-Pleasant Hill</v>
      </c>
      <c r="B82" s="27" t="s">
        <v>116</v>
      </c>
      <c r="C82" s="26" t="s">
        <v>254</v>
      </c>
      <c r="D82" s="31">
        <v>0.17</v>
      </c>
      <c r="E82" s="218">
        <v>0.79999999999999982</v>
      </c>
      <c r="F82" s="26" t="s">
        <v>177</v>
      </c>
      <c r="G82" s="32" t="s">
        <v>31</v>
      </c>
    </row>
    <row r="83" spans="1:7" ht="15" customHeight="1" x14ac:dyDescent="0.2">
      <c r="A83" s="26" t="str">
        <f t="shared" si="1"/>
        <v>Davidson-Davidson County</v>
      </c>
      <c r="B83" s="27" t="s">
        <v>117</v>
      </c>
      <c r="C83" s="26" t="s">
        <v>255</v>
      </c>
      <c r="D83" s="31">
        <v>0.26</v>
      </c>
      <c r="E83" s="218">
        <v>0.66999999999999971</v>
      </c>
      <c r="F83" s="26" t="s">
        <v>59</v>
      </c>
      <c r="G83" s="32" t="s">
        <v>62</v>
      </c>
    </row>
    <row r="84" spans="1:7" ht="15" customHeight="1" x14ac:dyDescent="0.2">
      <c r="A84" s="26" t="str">
        <f t="shared" si="1"/>
        <v>Davidson-Belle Meade</v>
      </c>
      <c r="B84" s="27" t="s">
        <v>117</v>
      </c>
      <c r="C84" s="26" t="s">
        <v>256</v>
      </c>
      <c r="D84" s="31">
        <v>0.3</v>
      </c>
      <c r="E84" s="218">
        <v>0.59999999999999964</v>
      </c>
      <c r="F84" s="26" t="s">
        <v>177</v>
      </c>
      <c r="G84" s="32" t="s">
        <v>62</v>
      </c>
    </row>
    <row r="85" spans="1:7" ht="15" customHeight="1" x14ac:dyDescent="0.2">
      <c r="A85" s="26" t="str">
        <f t="shared" si="1"/>
        <v>Davidson-Berry Hill</v>
      </c>
      <c r="B85" s="27" t="s">
        <v>117</v>
      </c>
      <c r="C85" s="26" t="s">
        <v>257</v>
      </c>
      <c r="D85" s="31">
        <v>0.3</v>
      </c>
      <c r="E85" s="218">
        <v>0.59999999999999964</v>
      </c>
      <c r="F85" s="26" t="s">
        <v>177</v>
      </c>
      <c r="G85" s="32" t="s">
        <v>62</v>
      </c>
    </row>
    <row r="86" spans="1:7" ht="15" customHeight="1" x14ac:dyDescent="0.2">
      <c r="A86" s="26" t="str">
        <f t="shared" si="1"/>
        <v>Davidson-Forest Hills</v>
      </c>
      <c r="B86" s="27" t="s">
        <v>117</v>
      </c>
      <c r="C86" s="26" t="s">
        <v>258</v>
      </c>
      <c r="D86" s="31">
        <v>0.3</v>
      </c>
      <c r="E86" s="218">
        <v>0.75999999999999979</v>
      </c>
      <c r="F86" s="26" t="s">
        <v>177</v>
      </c>
      <c r="G86" s="32" t="s">
        <v>62</v>
      </c>
    </row>
    <row r="87" spans="1:7" ht="15" customHeight="1" x14ac:dyDescent="0.2">
      <c r="A87" s="26" t="str">
        <f t="shared" si="1"/>
        <v>Davidson-Goodlettsville</v>
      </c>
      <c r="B87" s="27" t="s">
        <v>117</v>
      </c>
      <c r="C87" s="26" t="s">
        <v>259</v>
      </c>
      <c r="D87" s="31">
        <v>0.26</v>
      </c>
      <c r="E87" s="218">
        <v>0.69999999999999973</v>
      </c>
      <c r="F87" s="26" t="s">
        <v>177</v>
      </c>
      <c r="G87" s="32" t="s">
        <v>62</v>
      </c>
    </row>
    <row r="88" spans="1:7" ht="15" customHeight="1" x14ac:dyDescent="0.2">
      <c r="A88" s="35" t="str">
        <f t="shared" si="1"/>
        <v>Davidson-Lakewood</v>
      </c>
      <c r="B88" s="36" t="s">
        <v>117</v>
      </c>
      <c r="C88" s="35" t="s">
        <v>260</v>
      </c>
      <c r="D88" s="31" t="e">
        <v>#N/A</v>
      </c>
      <c r="E88" s="218">
        <v>0.66999999999999971</v>
      </c>
      <c r="F88" s="35" t="s">
        <v>177</v>
      </c>
      <c r="G88" s="32" t="s">
        <v>62</v>
      </c>
    </row>
    <row r="89" spans="1:7" ht="15" customHeight="1" x14ac:dyDescent="0.2">
      <c r="A89" s="26" t="str">
        <f t="shared" si="1"/>
        <v>Davidson-Nashville</v>
      </c>
      <c r="B89" s="27" t="s">
        <v>117</v>
      </c>
      <c r="C89" s="26" t="s">
        <v>261</v>
      </c>
      <c r="D89" s="31">
        <v>0.26</v>
      </c>
      <c r="E89" s="218">
        <v>0.78999999999999981</v>
      </c>
      <c r="F89" s="26" t="s">
        <v>177</v>
      </c>
      <c r="G89" s="32" t="s">
        <v>62</v>
      </c>
    </row>
    <row r="90" spans="1:7" ht="15" customHeight="1" x14ac:dyDescent="0.2">
      <c r="A90" s="26" t="str">
        <f t="shared" si="1"/>
        <v>Davidson-Oak Hill</v>
      </c>
      <c r="B90" s="27" t="s">
        <v>117</v>
      </c>
      <c r="C90" s="26" t="s">
        <v>262</v>
      </c>
      <c r="D90" s="31">
        <v>0.3</v>
      </c>
      <c r="E90" s="218">
        <v>0.71999999999999975</v>
      </c>
      <c r="F90" s="26" t="s">
        <v>177</v>
      </c>
      <c r="G90" s="32" t="s">
        <v>62</v>
      </c>
    </row>
    <row r="91" spans="1:7" ht="15" customHeight="1" x14ac:dyDescent="0.2">
      <c r="A91" s="26" t="str">
        <f t="shared" si="1"/>
        <v>Davidson-Ridgetop</v>
      </c>
      <c r="B91" s="27" t="s">
        <v>117</v>
      </c>
      <c r="C91" s="26" t="s">
        <v>263</v>
      </c>
      <c r="D91" s="31">
        <v>0.28999999999999998</v>
      </c>
      <c r="E91" s="218">
        <v>0.8899999999999999</v>
      </c>
      <c r="F91" s="26" t="s">
        <v>177</v>
      </c>
      <c r="G91" s="32" t="s">
        <v>62</v>
      </c>
    </row>
    <row r="92" spans="1:7" ht="15" customHeight="1" x14ac:dyDescent="0.2">
      <c r="A92" s="26" t="str">
        <f t="shared" si="1"/>
        <v>Decatur-Decatur County</v>
      </c>
      <c r="B92" s="27" t="s">
        <v>118</v>
      </c>
      <c r="C92" s="26" t="s">
        <v>264</v>
      </c>
      <c r="D92" s="31">
        <v>0.16</v>
      </c>
      <c r="E92" s="218">
        <v>0.83999999999999986</v>
      </c>
      <c r="F92" s="26" t="s">
        <v>59</v>
      </c>
      <c r="G92" s="32" t="s">
        <v>31</v>
      </c>
    </row>
    <row r="93" spans="1:7" ht="15" customHeight="1" x14ac:dyDescent="0.2">
      <c r="A93" s="26" t="str">
        <f t="shared" si="1"/>
        <v>Decatur-Decaturville</v>
      </c>
      <c r="B93" s="27" t="s">
        <v>118</v>
      </c>
      <c r="C93" s="26" t="s">
        <v>265</v>
      </c>
      <c r="D93" s="31">
        <v>0.12</v>
      </c>
      <c r="E93" s="218">
        <v>0.89999999999999991</v>
      </c>
      <c r="F93" s="26" t="s">
        <v>177</v>
      </c>
      <c r="G93" s="32" t="s">
        <v>31</v>
      </c>
    </row>
    <row r="94" spans="1:7" ht="15" customHeight="1" x14ac:dyDescent="0.2">
      <c r="A94" s="26" t="str">
        <f t="shared" si="1"/>
        <v>Decatur-Parsons</v>
      </c>
      <c r="B94" s="27" t="s">
        <v>118</v>
      </c>
      <c r="C94" s="26" t="s">
        <v>266</v>
      </c>
      <c r="D94" s="31">
        <v>0.12</v>
      </c>
      <c r="E94" s="218">
        <v>0.81999999999999984</v>
      </c>
      <c r="F94" s="26" t="s">
        <v>177</v>
      </c>
      <c r="G94" s="32" t="s">
        <v>31</v>
      </c>
    </row>
    <row r="95" spans="1:7" ht="15" customHeight="1" x14ac:dyDescent="0.2">
      <c r="A95" s="26" t="str">
        <f t="shared" si="1"/>
        <v>Decatur-Scotts Hill</v>
      </c>
      <c r="B95" s="27" t="s">
        <v>118</v>
      </c>
      <c r="C95" s="26" t="s">
        <v>267</v>
      </c>
      <c r="D95" s="31">
        <v>0.18</v>
      </c>
      <c r="E95" s="218">
        <v>0.90999999999999992</v>
      </c>
      <c r="F95" s="26" t="s">
        <v>177</v>
      </c>
      <c r="G95" s="32" t="s">
        <v>31</v>
      </c>
    </row>
    <row r="96" spans="1:7" ht="15" customHeight="1" x14ac:dyDescent="0.2">
      <c r="A96" s="26" t="str">
        <f t="shared" si="1"/>
        <v>DeKalb-DeKalb County</v>
      </c>
      <c r="B96" s="27" t="s">
        <v>119</v>
      </c>
      <c r="C96" s="26" t="s">
        <v>268</v>
      </c>
      <c r="D96" s="31">
        <v>0.19</v>
      </c>
      <c r="E96" s="218">
        <v>0.78999999999999981</v>
      </c>
      <c r="F96" s="26" t="s">
        <v>59</v>
      </c>
      <c r="G96" s="32" t="s">
        <v>31</v>
      </c>
    </row>
    <row r="97" spans="1:7" ht="15" customHeight="1" x14ac:dyDescent="0.2">
      <c r="A97" s="26" t="str">
        <f t="shared" si="1"/>
        <v>DeKalb-Alexandria</v>
      </c>
      <c r="B97" s="27" t="s">
        <v>119</v>
      </c>
      <c r="C97" s="26" t="s">
        <v>269</v>
      </c>
      <c r="D97" s="31">
        <v>0.18</v>
      </c>
      <c r="E97" s="218">
        <v>0.90999999999999992</v>
      </c>
      <c r="F97" s="26" t="s">
        <v>177</v>
      </c>
      <c r="G97" s="32" t="s">
        <v>31</v>
      </c>
    </row>
    <row r="98" spans="1:7" ht="15" customHeight="1" x14ac:dyDescent="0.2">
      <c r="A98" s="26" t="str">
        <f t="shared" si="1"/>
        <v>DeKalb-Dowelltown</v>
      </c>
      <c r="B98" s="27" t="s">
        <v>119</v>
      </c>
      <c r="C98" s="26" t="s">
        <v>270</v>
      </c>
      <c r="D98" s="31">
        <v>0.21</v>
      </c>
      <c r="E98" s="218">
        <v>0.83999999999999986</v>
      </c>
      <c r="F98" s="26" t="s">
        <v>177</v>
      </c>
      <c r="G98" s="32" t="s">
        <v>31</v>
      </c>
    </row>
    <row r="99" spans="1:7" ht="15" customHeight="1" x14ac:dyDescent="0.2">
      <c r="A99" s="26" t="str">
        <f t="shared" si="1"/>
        <v>DeKalb-Liberty</v>
      </c>
      <c r="B99" s="27" t="s">
        <v>119</v>
      </c>
      <c r="C99" s="26" t="s">
        <v>271</v>
      </c>
      <c r="D99" s="31">
        <v>0.15</v>
      </c>
      <c r="E99" s="218">
        <v>0.86999999999999988</v>
      </c>
      <c r="F99" s="26" t="s">
        <v>177</v>
      </c>
      <c r="G99" s="32" t="s">
        <v>31</v>
      </c>
    </row>
    <row r="100" spans="1:7" ht="15" customHeight="1" x14ac:dyDescent="0.2">
      <c r="A100" s="26" t="str">
        <f t="shared" si="1"/>
        <v>DeKalb-Smithville</v>
      </c>
      <c r="B100" s="27" t="s">
        <v>119</v>
      </c>
      <c r="C100" s="26" t="s">
        <v>272</v>
      </c>
      <c r="D100" s="31">
        <v>0.11</v>
      </c>
      <c r="E100" s="218">
        <v>0.75999999999999979</v>
      </c>
      <c r="F100" s="26" t="s">
        <v>177</v>
      </c>
      <c r="G100" s="32" t="s">
        <v>31</v>
      </c>
    </row>
    <row r="101" spans="1:7" ht="15" customHeight="1" x14ac:dyDescent="0.2">
      <c r="A101" s="26" t="str">
        <f t="shared" si="1"/>
        <v>Dickson-Dickson County</v>
      </c>
      <c r="B101" s="27" t="s">
        <v>95</v>
      </c>
      <c r="C101" s="26" t="s">
        <v>273</v>
      </c>
      <c r="D101" s="31">
        <v>0.25</v>
      </c>
      <c r="E101" s="218">
        <v>0.80999999999999983</v>
      </c>
      <c r="F101" s="26" t="s">
        <v>59</v>
      </c>
      <c r="G101" s="32" t="s">
        <v>31</v>
      </c>
    </row>
    <row r="102" spans="1:7" ht="15" customHeight="1" x14ac:dyDescent="0.2">
      <c r="A102" s="26" t="str">
        <f t="shared" si="1"/>
        <v>Dickson-Burns</v>
      </c>
      <c r="B102" s="27" t="s">
        <v>95</v>
      </c>
      <c r="C102" s="26" t="s">
        <v>274</v>
      </c>
      <c r="D102" s="31">
        <v>0.27</v>
      </c>
      <c r="E102" s="218">
        <v>0.89999999999999991</v>
      </c>
      <c r="F102" s="26" t="s">
        <v>177</v>
      </c>
      <c r="G102" s="32" t="s">
        <v>31</v>
      </c>
    </row>
    <row r="103" spans="1:7" ht="15" customHeight="1" x14ac:dyDescent="0.2">
      <c r="A103" s="26" t="str">
        <f t="shared" si="1"/>
        <v>Dickson-Charlotte</v>
      </c>
      <c r="B103" s="27" t="s">
        <v>95</v>
      </c>
      <c r="C103" s="26" t="s">
        <v>275</v>
      </c>
      <c r="D103" s="31">
        <v>0.27</v>
      </c>
      <c r="E103" s="218">
        <v>0.84999999999999987</v>
      </c>
      <c r="F103" s="26" t="s">
        <v>177</v>
      </c>
      <c r="G103" s="32" t="s">
        <v>31</v>
      </c>
    </row>
    <row r="104" spans="1:7" ht="15" customHeight="1" x14ac:dyDescent="0.2">
      <c r="A104" s="26" t="str">
        <f t="shared" si="1"/>
        <v>Dickson-Dickson</v>
      </c>
      <c r="B104" s="27" t="s">
        <v>95</v>
      </c>
      <c r="C104" s="26" t="s">
        <v>95</v>
      </c>
      <c r="D104" s="31">
        <v>0.24</v>
      </c>
      <c r="E104" s="218">
        <v>0.68999999999999972</v>
      </c>
      <c r="F104" s="26" t="s">
        <v>177</v>
      </c>
      <c r="G104" s="32" t="s">
        <v>31</v>
      </c>
    </row>
    <row r="105" spans="1:7" ht="15" customHeight="1" x14ac:dyDescent="0.2">
      <c r="A105" s="26" t="str">
        <f t="shared" si="1"/>
        <v>Dickson-Slayden</v>
      </c>
      <c r="B105" s="27" t="s">
        <v>95</v>
      </c>
      <c r="C105" s="26" t="s">
        <v>276</v>
      </c>
      <c r="D105" s="31">
        <v>0.16</v>
      </c>
      <c r="E105" s="218">
        <v>0.78999999999999981</v>
      </c>
      <c r="F105" s="26" t="s">
        <v>177</v>
      </c>
      <c r="G105" s="32" t="s">
        <v>31</v>
      </c>
    </row>
    <row r="106" spans="1:7" ht="15" customHeight="1" x14ac:dyDescent="0.2">
      <c r="A106" s="26" t="str">
        <f t="shared" si="1"/>
        <v>Dickson-Vanleer</v>
      </c>
      <c r="B106" s="27" t="s">
        <v>95</v>
      </c>
      <c r="C106" s="26" t="s">
        <v>277</v>
      </c>
      <c r="D106" s="31">
        <v>0.2</v>
      </c>
      <c r="E106" s="218">
        <v>0.90999999999999992</v>
      </c>
      <c r="F106" s="26" t="s">
        <v>177</v>
      </c>
      <c r="G106" s="32" t="s">
        <v>31</v>
      </c>
    </row>
    <row r="107" spans="1:7" ht="15" customHeight="1" x14ac:dyDescent="0.2">
      <c r="A107" s="26" t="str">
        <f t="shared" si="1"/>
        <v>Dickson-White Bluff</v>
      </c>
      <c r="B107" s="27" t="s">
        <v>95</v>
      </c>
      <c r="C107" s="26" t="s">
        <v>278</v>
      </c>
      <c r="D107" s="31">
        <v>0.25</v>
      </c>
      <c r="E107" s="218">
        <v>0.86999999999999988</v>
      </c>
      <c r="F107" s="26" t="s">
        <v>177</v>
      </c>
      <c r="G107" s="32" t="s">
        <v>31</v>
      </c>
    </row>
    <row r="108" spans="1:7" ht="15" customHeight="1" x14ac:dyDescent="0.2">
      <c r="A108" s="26" t="str">
        <f t="shared" si="1"/>
        <v>Dyer-Dyer County</v>
      </c>
      <c r="B108" s="27" t="s">
        <v>120</v>
      </c>
      <c r="C108" s="26" t="s">
        <v>279</v>
      </c>
      <c r="D108" s="31">
        <v>0.19</v>
      </c>
      <c r="E108" s="218">
        <v>0.83999999999999986</v>
      </c>
      <c r="F108" s="26" t="s">
        <v>59</v>
      </c>
      <c r="G108" s="32" t="s">
        <v>31</v>
      </c>
    </row>
    <row r="109" spans="1:7" ht="15" customHeight="1" x14ac:dyDescent="0.2">
      <c r="A109" s="26" t="str">
        <f t="shared" si="1"/>
        <v>Dyer-Dyersburg</v>
      </c>
      <c r="B109" s="27" t="s">
        <v>120</v>
      </c>
      <c r="C109" s="26" t="s">
        <v>280</v>
      </c>
      <c r="D109" s="31">
        <v>0.15</v>
      </c>
      <c r="E109" s="218">
        <v>0.82999999999999985</v>
      </c>
      <c r="F109" s="26" t="s">
        <v>177</v>
      </c>
      <c r="G109" s="32" t="s">
        <v>31</v>
      </c>
    </row>
    <row r="110" spans="1:7" ht="15" customHeight="1" x14ac:dyDescent="0.2">
      <c r="A110" s="26" t="str">
        <f t="shared" si="1"/>
        <v>Dyer-Newbern</v>
      </c>
      <c r="B110" s="27" t="s">
        <v>120</v>
      </c>
      <c r="C110" s="26" t="s">
        <v>281</v>
      </c>
      <c r="D110" s="31">
        <v>0.17</v>
      </c>
      <c r="E110" s="218">
        <v>0.89999999999999991</v>
      </c>
      <c r="F110" s="26" t="s">
        <v>177</v>
      </c>
      <c r="G110" s="32" t="s">
        <v>31</v>
      </c>
    </row>
    <row r="111" spans="1:7" ht="15" customHeight="1" x14ac:dyDescent="0.2">
      <c r="A111" s="26" t="str">
        <f t="shared" si="1"/>
        <v>Dyer-Trimble</v>
      </c>
      <c r="B111" s="27" t="s">
        <v>120</v>
      </c>
      <c r="C111" s="26" t="s">
        <v>282</v>
      </c>
      <c r="D111" s="31">
        <v>0.17</v>
      </c>
      <c r="E111" s="218">
        <v>0.96</v>
      </c>
      <c r="F111" s="26" t="s">
        <v>177</v>
      </c>
      <c r="G111" s="32" t="s">
        <v>31</v>
      </c>
    </row>
    <row r="112" spans="1:7" ht="15" customHeight="1" x14ac:dyDescent="0.2">
      <c r="A112" s="26" t="str">
        <f t="shared" si="1"/>
        <v>Fayette-Fayette County</v>
      </c>
      <c r="B112" s="27" t="s">
        <v>121</v>
      </c>
      <c r="C112" s="26" t="s">
        <v>283</v>
      </c>
      <c r="D112" s="31">
        <v>0.25</v>
      </c>
      <c r="E112" s="218">
        <v>0.7799999999999998</v>
      </c>
      <c r="F112" s="26" t="s">
        <v>59</v>
      </c>
      <c r="G112" s="32" t="s">
        <v>31</v>
      </c>
    </row>
    <row r="113" spans="1:7" ht="15" customHeight="1" x14ac:dyDescent="0.2">
      <c r="A113" s="26" t="str">
        <f t="shared" si="1"/>
        <v>Fayette-Braden</v>
      </c>
      <c r="B113" s="27" t="s">
        <v>121</v>
      </c>
      <c r="C113" s="26" t="s">
        <v>284</v>
      </c>
      <c r="D113" s="31">
        <v>0.28000000000000003</v>
      </c>
      <c r="E113" s="218">
        <v>0.7699999999999998</v>
      </c>
      <c r="F113" s="26" t="s">
        <v>177</v>
      </c>
      <c r="G113" s="32" t="s">
        <v>31</v>
      </c>
    </row>
    <row r="114" spans="1:7" ht="15" customHeight="1" x14ac:dyDescent="0.2">
      <c r="A114" s="26" t="str">
        <f t="shared" si="1"/>
        <v>Fayette-Gallaway</v>
      </c>
      <c r="B114" s="27" t="s">
        <v>121</v>
      </c>
      <c r="C114" s="26" t="s">
        <v>285</v>
      </c>
      <c r="D114" s="31">
        <v>0.1</v>
      </c>
      <c r="E114" s="218">
        <v>0.70999999999999974</v>
      </c>
      <c r="F114" s="26" t="s">
        <v>177</v>
      </c>
      <c r="G114" s="32" t="s">
        <v>31</v>
      </c>
    </row>
    <row r="115" spans="1:7" ht="15" customHeight="1" x14ac:dyDescent="0.2">
      <c r="A115" s="26" t="str">
        <f t="shared" si="1"/>
        <v>Fayette-Grand Junction</v>
      </c>
      <c r="B115" s="27" t="s">
        <v>121</v>
      </c>
      <c r="C115" s="26" t="s">
        <v>286</v>
      </c>
      <c r="D115" s="31">
        <v>0.15</v>
      </c>
      <c r="E115" s="218">
        <v>0.78999999999999981</v>
      </c>
      <c r="F115" s="26" t="s">
        <v>177</v>
      </c>
      <c r="G115" s="32" t="s">
        <v>31</v>
      </c>
    </row>
    <row r="116" spans="1:7" ht="15" customHeight="1" x14ac:dyDescent="0.2">
      <c r="A116" s="35" t="str">
        <f t="shared" si="1"/>
        <v>Fayette-Hickory Withe</v>
      </c>
      <c r="B116" s="36" t="s">
        <v>121</v>
      </c>
      <c r="C116" s="37" t="s">
        <v>287</v>
      </c>
      <c r="D116" s="31" t="e">
        <v>#N/A</v>
      </c>
      <c r="E116" s="218">
        <v>0.7799999999999998</v>
      </c>
      <c r="F116" s="35" t="s">
        <v>177</v>
      </c>
      <c r="G116" s="32" t="s">
        <v>31</v>
      </c>
    </row>
    <row r="117" spans="1:7" ht="15" customHeight="1" x14ac:dyDescent="0.2">
      <c r="A117" s="26" t="str">
        <f t="shared" si="1"/>
        <v>Fayette-La Grange</v>
      </c>
      <c r="B117" s="27" t="s">
        <v>121</v>
      </c>
      <c r="C117" s="26" t="s">
        <v>288</v>
      </c>
      <c r="D117" s="31">
        <v>0.22</v>
      </c>
      <c r="E117" s="218">
        <v>0.6599999999999997</v>
      </c>
      <c r="F117" s="26" t="s">
        <v>177</v>
      </c>
      <c r="G117" s="32" t="s">
        <v>31</v>
      </c>
    </row>
    <row r="118" spans="1:7" ht="15" customHeight="1" x14ac:dyDescent="0.2">
      <c r="A118" s="26" t="str">
        <f t="shared" si="1"/>
        <v>Fayette-Moscow</v>
      </c>
      <c r="B118" s="27" t="s">
        <v>121</v>
      </c>
      <c r="C118" s="26" t="s">
        <v>289</v>
      </c>
      <c r="D118" s="31">
        <v>0.18</v>
      </c>
      <c r="E118" s="218">
        <v>0.81999999999999984</v>
      </c>
      <c r="F118" s="26" t="s">
        <v>177</v>
      </c>
      <c r="G118" s="32" t="s">
        <v>31</v>
      </c>
    </row>
    <row r="119" spans="1:7" ht="15" customHeight="1" x14ac:dyDescent="0.2">
      <c r="A119" s="26" t="str">
        <f t="shared" si="1"/>
        <v>Fayette-Oakland</v>
      </c>
      <c r="B119" s="27" t="s">
        <v>121</v>
      </c>
      <c r="C119" s="26" t="s">
        <v>290</v>
      </c>
      <c r="D119" s="31">
        <v>0.28999999999999998</v>
      </c>
      <c r="E119" s="218">
        <v>0.74999999999999978</v>
      </c>
      <c r="F119" s="26" t="s">
        <v>177</v>
      </c>
      <c r="G119" s="32" t="s">
        <v>31</v>
      </c>
    </row>
    <row r="120" spans="1:7" ht="15" customHeight="1" x14ac:dyDescent="0.2">
      <c r="A120" s="26" t="str">
        <f t="shared" si="1"/>
        <v>Fayette-Piperton</v>
      </c>
      <c r="B120" s="27" t="s">
        <v>121</v>
      </c>
      <c r="C120" s="26" t="s">
        <v>291</v>
      </c>
      <c r="D120" s="31">
        <v>0.28999999999999998</v>
      </c>
      <c r="E120" s="218">
        <v>0.59999999999999964</v>
      </c>
      <c r="F120" s="26" t="s">
        <v>177</v>
      </c>
      <c r="G120" s="32" t="s">
        <v>31</v>
      </c>
    </row>
    <row r="121" spans="1:7" ht="15" customHeight="1" x14ac:dyDescent="0.2">
      <c r="A121" s="26" t="str">
        <f t="shared" si="1"/>
        <v>Fayette-Rossville</v>
      </c>
      <c r="B121" s="27" t="s">
        <v>121</v>
      </c>
      <c r="C121" s="26" t="s">
        <v>292</v>
      </c>
      <c r="D121" s="31">
        <v>0.28000000000000003</v>
      </c>
      <c r="E121" s="218">
        <v>0.60999999999999965</v>
      </c>
      <c r="F121" s="26" t="s">
        <v>177</v>
      </c>
      <c r="G121" s="32" t="s">
        <v>31</v>
      </c>
    </row>
    <row r="122" spans="1:7" ht="15" customHeight="1" x14ac:dyDescent="0.2">
      <c r="A122" s="26" t="str">
        <f t="shared" si="1"/>
        <v>Fayette-Somerville</v>
      </c>
      <c r="B122" s="27" t="s">
        <v>121</v>
      </c>
      <c r="C122" s="26" t="s">
        <v>293</v>
      </c>
      <c r="D122" s="31">
        <v>0.11</v>
      </c>
      <c r="E122" s="218">
        <v>0.84999999999999987</v>
      </c>
      <c r="F122" s="26" t="s">
        <v>177</v>
      </c>
      <c r="G122" s="32" t="s">
        <v>31</v>
      </c>
    </row>
    <row r="123" spans="1:7" ht="15" customHeight="1" x14ac:dyDescent="0.2">
      <c r="A123" s="26" t="str">
        <f t="shared" si="1"/>
        <v>Fayette-Williston</v>
      </c>
      <c r="B123" s="27" t="s">
        <v>121</v>
      </c>
      <c r="C123" s="26" t="s">
        <v>294</v>
      </c>
      <c r="D123" s="31">
        <v>0.22</v>
      </c>
      <c r="E123" s="218">
        <v>0.81999999999999984</v>
      </c>
      <c r="F123" s="26" t="s">
        <v>177</v>
      </c>
      <c r="G123" s="32" t="s">
        <v>31</v>
      </c>
    </row>
    <row r="124" spans="1:7" ht="15" customHeight="1" x14ac:dyDescent="0.2">
      <c r="A124" s="26" t="str">
        <f t="shared" si="1"/>
        <v>Fentress-Fentress County</v>
      </c>
      <c r="B124" s="27" t="s">
        <v>77</v>
      </c>
      <c r="C124" s="26" t="s">
        <v>295</v>
      </c>
      <c r="D124" s="31">
        <v>0.15</v>
      </c>
      <c r="E124" s="218">
        <v>0.85999999999999988</v>
      </c>
      <c r="F124" s="26" t="s">
        <v>59</v>
      </c>
      <c r="G124" s="32" t="s">
        <v>31</v>
      </c>
    </row>
    <row r="125" spans="1:7" ht="15" customHeight="1" x14ac:dyDescent="0.2">
      <c r="A125" s="26" t="str">
        <f t="shared" si="1"/>
        <v>Fentress-Allardt</v>
      </c>
      <c r="B125" s="27" t="s">
        <v>77</v>
      </c>
      <c r="C125" s="26" t="s">
        <v>296</v>
      </c>
      <c r="D125" s="31">
        <v>0.25</v>
      </c>
      <c r="E125" s="218">
        <v>0.87999999999999989</v>
      </c>
      <c r="F125" s="26" t="s">
        <v>177</v>
      </c>
      <c r="G125" s="32" t="s">
        <v>31</v>
      </c>
    </row>
    <row r="126" spans="1:7" ht="15" customHeight="1" x14ac:dyDescent="0.2">
      <c r="A126" s="26" t="str">
        <f t="shared" si="1"/>
        <v>Fentress-Jamestown</v>
      </c>
      <c r="B126" s="27" t="s">
        <v>77</v>
      </c>
      <c r="C126" s="26" t="s">
        <v>297</v>
      </c>
      <c r="D126" s="31">
        <v>0.1</v>
      </c>
      <c r="E126" s="218">
        <v>0.72999999999999976</v>
      </c>
      <c r="F126" s="26" t="s">
        <v>177</v>
      </c>
      <c r="G126" s="32" t="s">
        <v>31</v>
      </c>
    </row>
    <row r="127" spans="1:7" ht="15" customHeight="1" x14ac:dyDescent="0.2">
      <c r="A127" s="26" t="str">
        <f t="shared" ref="A127:A133" si="2">B127&amp;"-"&amp;C127</f>
        <v>Franklin-Franklin County</v>
      </c>
      <c r="B127" s="27" t="s">
        <v>96</v>
      </c>
      <c r="C127" s="26" t="s">
        <v>300</v>
      </c>
      <c r="D127" s="31">
        <v>0.24</v>
      </c>
      <c r="E127" s="218">
        <v>0.80999999999999983</v>
      </c>
      <c r="F127" s="26" t="s">
        <v>59</v>
      </c>
      <c r="G127" s="32" t="s">
        <v>31</v>
      </c>
    </row>
    <row r="128" spans="1:7" ht="15" customHeight="1" x14ac:dyDescent="0.2">
      <c r="A128" s="26" t="str">
        <f t="shared" si="2"/>
        <v>Franklin-Cowan</v>
      </c>
      <c r="B128" s="27" t="s">
        <v>96</v>
      </c>
      <c r="C128" s="26" t="s">
        <v>301</v>
      </c>
      <c r="D128" s="31">
        <v>0.17</v>
      </c>
      <c r="E128" s="218">
        <v>0.95</v>
      </c>
      <c r="F128" s="26" t="s">
        <v>177</v>
      </c>
      <c r="G128" s="32" t="s">
        <v>31</v>
      </c>
    </row>
    <row r="129" spans="1:7" ht="15" customHeight="1" x14ac:dyDescent="0.2">
      <c r="A129" s="26" t="str">
        <f t="shared" si="2"/>
        <v>Frankin-Decherd</v>
      </c>
      <c r="B129" s="27" t="s">
        <v>298</v>
      </c>
      <c r="C129" s="26" t="s">
        <v>299</v>
      </c>
      <c r="D129" s="31">
        <v>0.22</v>
      </c>
      <c r="E129" s="218">
        <v>0.73999999999999977</v>
      </c>
      <c r="F129" s="26" t="s">
        <v>177</v>
      </c>
      <c r="G129" s="32" t="s">
        <v>31</v>
      </c>
    </row>
    <row r="130" spans="1:7" ht="15" customHeight="1" x14ac:dyDescent="0.2">
      <c r="A130" s="26" t="str">
        <f t="shared" si="2"/>
        <v>Franklin-Estill Springs</v>
      </c>
      <c r="B130" s="27" t="s">
        <v>96</v>
      </c>
      <c r="C130" s="26" t="s">
        <v>302</v>
      </c>
      <c r="D130" s="31">
        <v>0.26</v>
      </c>
      <c r="E130" s="218">
        <v>0.79999999999999982</v>
      </c>
      <c r="F130" s="26" t="s">
        <v>177</v>
      </c>
      <c r="G130" s="32" t="s">
        <v>31</v>
      </c>
    </row>
    <row r="131" spans="1:7" ht="15" customHeight="1" x14ac:dyDescent="0.2">
      <c r="A131" s="26" t="str">
        <f t="shared" si="2"/>
        <v>Franklin-Huntland</v>
      </c>
      <c r="B131" s="27" t="s">
        <v>96</v>
      </c>
      <c r="C131" s="26" t="s">
        <v>303</v>
      </c>
      <c r="D131" s="31">
        <v>0.25</v>
      </c>
      <c r="E131" s="218">
        <v>0.91999999999999993</v>
      </c>
      <c r="F131" s="26" t="s">
        <v>177</v>
      </c>
      <c r="G131" s="32" t="s">
        <v>31</v>
      </c>
    </row>
    <row r="132" spans="1:7" ht="15" customHeight="1" x14ac:dyDescent="0.2">
      <c r="A132" s="26" t="str">
        <f t="shared" si="2"/>
        <v>Franklin-Tullahoma</v>
      </c>
      <c r="B132" s="27" t="s">
        <v>96</v>
      </c>
      <c r="C132" s="26" t="s">
        <v>244</v>
      </c>
      <c r="D132" s="31">
        <v>0.23</v>
      </c>
      <c r="E132" s="218">
        <v>0.78999999999999981</v>
      </c>
      <c r="F132" s="26" t="s">
        <v>177</v>
      </c>
      <c r="G132" s="32" t="s">
        <v>31</v>
      </c>
    </row>
    <row r="133" spans="1:7" ht="15" customHeight="1" x14ac:dyDescent="0.2">
      <c r="A133" s="26" t="str">
        <f t="shared" si="2"/>
        <v>Franklin-Winchester</v>
      </c>
      <c r="B133" s="27" t="s">
        <v>96</v>
      </c>
      <c r="C133" s="26" t="s">
        <v>304</v>
      </c>
      <c r="D133" s="31">
        <v>0.25</v>
      </c>
      <c r="E133" s="218">
        <v>0.7699999999999998</v>
      </c>
      <c r="F133" s="26" t="s">
        <v>177</v>
      </c>
      <c r="G133" s="32" t="s">
        <v>31</v>
      </c>
    </row>
    <row r="134" spans="1:7" ht="15" customHeight="1" x14ac:dyDescent="0.2">
      <c r="A134" s="26" t="str">
        <f t="shared" ref="A134:A193" si="3">B134&amp;"-"&amp;C134</f>
        <v>Gibson-Gibson County</v>
      </c>
      <c r="B134" s="27" t="s">
        <v>83</v>
      </c>
      <c r="C134" s="26" t="s">
        <v>305</v>
      </c>
      <c r="D134" s="31">
        <v>0.2</v>
      </c>
      <c r="E134" s="218">
        <v>0.87999999999999989</v>
      </c>
      <c r="F134" s="26" t="s">
        <v>59</v>
      </c>
      <c r="G134" s="32" t="s">
        <v>31</v>
      </c>
    </row>
    <row r="135" spans="1:7" ht="15" customHeight="1" x14ac:dyDescent="0.2">
      <c r="A135" s="26" t="str">
        <f t="shared" si="3"/>
        <v>Gibson-Bradford</v>
      </c>
      <c r="B135" s="27" t="s">
        <v>83</v>
      </c>
      <c r="C135" s="26" t="s">
        <v>306</v>
      </c>
      <c r="D135" s="31">
        <v>0.16</v>
      </c>
      <c r="E135" s="218">
        <v>0.95</v>
      </c>
      <c r="F135" s="26" t="s">
        <v>177</v>
      </c>
      <c r="G135" s="32" t="s">
        <v>31</v>
      </c>
    </row>
    <row r="136" spans="1:7" ht="15" customHeight="1" x14ac:dyDescent="0.2">
      <c r="A136" s="26" t="str">
        <f t="shared" si="3"/>
        <v>Gibson-Dyer</v>
      </c>
      <c r="B136" s="27" t="s">
        <v>83</v>
      </c>
      <c r="C136" s="26" t="s">
        <v>120</v>
      </c>
      <c r="D136" s="31">
        <v>0.18</v>
      </c>
      <c r="E136" s="218">
        <v>0.91999999999999993</v>
      </c>
      <c r="F136" s="26" t="s">
        <v>177</v>
      </c>
      <c r="G136" s="32" t="s">
        <v>31</v>
      </c>
    </row>
    <row r="137" spans="1:7" ht="15" customHeight="1" x14ac:dyDescent="0.2">
      <c r="A137" s="26" t="str">
        <f t="shared" si="3"/>
        <v>Gibson-Gibson</v>
      </c>
      <c r="B137" s="27" t="s">
        <v>83</v>
      </c>
      <c r="C137" s="26" t="s">
        <v>83</v>
      </c>
      <c r="D137" s="31">
        <v>0.24</v>
      </c>
      <c r="E137" s="218">
        <v>0.96</v>
      </c>
      <c r="F137" s="26" t="s">
        <v>177</v>
      </c>
      <c r="G137" s="32" t="s">
        <v>31</v>
      </c>
    </row>
    <row r="138" spans="1:7" ht="15" customHeight="1" x14ac:dyDescent="0.2">
      <c r="A138" s="26" t="str">
        <f t="shared" si="3"/>
        <v>Gibson-Humboldt</v>
      </c>
      <c r="B138" s="27" t="s">
        <v>83</v>
      </c>
      <c r="C138" s="26" t="s">
        <v>307</v>
      </c>
      <c r="D138" s="31">
        <v>0.14000000000000001</v>
      </c>
      <c r="E138" s="218">
        <v>0.82999999999999985</v>
      </c>
      <c r="F138" s="26" t="s">
        <v>177</v>
      </c>
      <c r="G138" s="32" t="s">
        <v>31</v>
      </c>
    </row>
    <row r="139" spans="1:7" ht="15" customHeight="1" x14ac:dyDescent="0.2">
      <c r="A139" s="26" t="str">
        <f t="shared" si="3"/>
        <v>Gibson-Kenton</v>
      </c>
      <c r="B139" s="27" t="s">
        <v>83</v>
      </c>
      <c r="C139" s="26" t="s">
        <v>308</v>
      </c>
      <c r="D139" s="31">
        <v>0.18</v>
      </c>
      <c r="E139" s="218">
        <v>0.91999999999999993</v>
      </c>
      <c r="F139" s="26" t="s">
        <v>177</v>
      </c>
      <c r="G139" s="32" t="s">
        <v>31</v>
      </c>
    </row>
    <row r="140" spans="1:7" ht="15" customHeight="1" x14ac:dyDescent="0.2">
      <c r="A140" s="26" t="str">
        <f t="shared" si="3"/>
        <v>Gibson-Medina</v>
      </c>
      <c r="B140" s="27" t="s">
        <v>83</v>
      </c>
      <c r="C140" s="26" t="s">
        <v>309</v>
      </c>
      <c r="D140" s="31">
        <v>0.28000000000000003</v>
      </c>
      <c r="E140" s="218">
        <v>0.90999999999999992</v>
      </c>
      <c r="F140" s="26" t="s">
        <v>177</v>
      </c>
      <c r="G140" s="32" t="s">
        <v>31</v>
      </c>
    </row>
    <row r="141" spans="1:7" ht="15" customHeight="1" x14ac:dyDescent="0.2">
      <c r="A141" s="26" t="str">
        <f t="shared" si="3"/>
        <v>Gibson-Milan</v>
      </c>
      <c r="B141" s="27" t="s">
        <v>83</v>
      </c>
      <c r="C141" s="26" t="s">
        <v>310</v>
      </c>
      <c r="D141" s="31">
        <v>0.19</v>
      </c>
      <c r="E141" s="218">
        <v>0.7799999999999998</v>
      </c>
      <c r="F141" s="26" t="s">
        <v>177</v>
      </c>
      <c r="G141" s="32" t="s">
        <v>31</v>
      </c>
    </row>
    <row r="142" spans="1:7" ht="15" customHeight="1" x14ac:dyDescent="0.2">
      <c r="A142" s="26" t="str">
        <f t="shared" si="3"/>
        <v>Gibson-Rutherford</v>
      </c>
      <c r="B142" s="27" t="s">
        <v>83</v>
      </c>
      <c r="C142" s="26" t="s">
        <v>150</v>
      </c>
      <c r="D142" s="31">
        <v>0.2</v>
      </c>
      <c r="E142" s="218">
        <v>0.92999999999999994</v>
      </c>
      <c r="F142" s="26" t="s">
        <v>177</v>
      </c>
      <c r="G142" s="32" t="s">
        <v>31</v>
      </c>
    </row>
    <row r="143" spans="1:7" ht="15" customHeight="1" x14ac:dyDescent="0.2">
      <c r="A143" s="26" t="str">
        <f t="shared" si="3"/>
        <v>Gibson-Trenton</v>
      </c>
      <c r="B143" s="27" t="s">
        <v>83</v>
      </c>
      <c r="C143" s="26" t="s">
        <v>311</v>
      </c>
      <c r="D143" s="31">
        <v>0.17</v>
      </c>
      <c r="E143" s="218">
        <v>0.86999999999999988</v>
      </c>
      <c r="F143" s="26" t="s">
        <v>177</v>
      </c>
      <c r="G143" s="32" t="s">
        <v>31</v>
      </c>
    </row>
    <row r="144" spans="1:7" ht="15" customHeight="1" x14ac:dyDescent="0.2">
      <c r="A144" s="26" t="str">
        <f t="shared" si="3"/>
        <v>Gibson-Yorkville</v>
      </c>
      <c r="B144" s="27" t="s">
        <v>83</v>
      </c>
      <c r="C144" s="26" t="s">
        <v>312</v>
      </c>
      <c r="D144" s="31">
        <v>0.24</v>
      </c>
      <c r="E144" s="218">
        <v>0.91999999999999993</v>
      </c>
      <c r="F144" s="26" t="s">
        <v>177</v>
      </c>
      <c r="G144" s="32" t="s">
        <v>31</v>
      </c>
    </row>
    <row r="145" spans="1:7" ht="15" customHeight="1" x14ac:dyDescent="0.2">
      <c r="A145" s="26" t="str">
        <f t="shared" si="3"/>
        <v>Giles-Giles County</v>
      </c>
      <c r="B145" s="27" t="s">
        <v>86</v>
      </c>
      <c r="C145" s="26" t="s">
        <v>313</v>
      </c>
      <c r="D145" s="31">
        <v>0.22</v>
      </c>
      <c r="E145" s="218">
        <v>0.83999999999999986</v>
      </c>
      <c r="F145" s="26" t="s">
        <v>59</v>
      </c>
      <c r="G145" s="32" t="s">
        <v>31</v>
      </c>
    </row>
    <row r="146" spans="1:7" ht="15" customHeight="1" x14ac:dyDescent="0.2">
      <c r="A146" s="26" t="str">
        <f t="shared" si="3"/>
        <v>Giles-Ardmore</v>
      </c>
      <c r="B146" s="27" t="s">
        <v>86</v>
      </c>
      <c r="C146" s="26" t="s">
        <v>314</v>
      </c>
      <c r="D146" s="31">
        <v>0.19</v>
      </c>
      <c r="E146" s="218">
        <v>0.74999999999999978</v>
      </c>
      <c r="F146" s="26" t="s">
        <v>177</v>
      </c>
      <c r="G146" s="32" t="s">
        <v>31</v>
      </c>
    </row>
    <row r="147" spans="1:7" ht="15" customHeight="1" x14ac:dyDescent="0.2">
      <c r="A147" s="26" t="str">
        <f t="shared" si="3"/>
        <v>Giles-Elkton</v>
      </c>
      <c r="B147" s="27" t="s">
        <v>86</v>
      </c>
      <c r="C147" s="26" t="s">
        <v>315</v>
      </c>
      <c r="D147" s="31">
        <v>0.26</v>
      </c>
      <c r="E147" s="218">
        <v>0.92999999999999994</v>
      </c>
      <c r="F147" s="26" t="s">
        <v>177</v>
      </c>
      <c r="G147" s="32" t="s">
        <v>31</v>
      </c>
    </row>
    <row r="148" spans="1:7" ht="15" customHeight="1" x14ac:dyDescent="0.2">
      <c r="A148" s="26" t="str">
        <f t="shared" si="3"/>
        <v>Giles-Lynnville</v>
      </c>
      <c r="B148" s="27" t="s">
        <v>86</v>
      </c>
      <c r="C148" s="26" t="s">
        <v>316</v>
      </c>
      <c r="D148" s="31">
        <v>0.23</v>
      </c>
      <c r="E148" s="218">
        <v>0.90999999999999992</v>
      </c>
      <c r="F148" s="26" t="s">
        <v>177</v>
      </c>
      <c r="G148" s="32" t="s">
        <v>31</v>
      </c>
    </row>
    <row r="149" spans="1:7" ht="15" customHeight="1" x14ac:dyDescent="0.2">
      <c r="A149" s="26" t="str">
        <f t="shared" si="3"/>
        <v>Giles-Minor Hill</v>
      </c>
      <c r="B149" s="27" t="s">
        <v>86</v>
      </c>
      <c r="C149" s="26" t="s">
        <v>317</v>
      </c>
      <c r="D149" s="31">
        <v>0.23</v>
      </c>
      <c r="E149" s="218">
        <v>0.83999999999999986</v>
      </c>
      <c r="F149" s="26" t="s">
        <v>177</v>
      </c>
      <c r="G149" s="32" t="s">
        <v>31</v>
      </c>
    </row>
    <row r="150" spans="1:7" ht="15" customHeight="1" x14ac:dyDescent="0.2">
      <c r="A150" s="26" t="str">
        <f t="shared" si="3"/>
        <v>Giles-Pulaski</v>
      </c>
      <c r="B150" s="27" t="s">
        <v>86</v>
      </c>
      <c r="C150" s="26" t="s">
        <v>318</v>
      </c>
      <c r="D150" s="31">
        <v>0.14000000000000001</v>
      </c>
      <c r="E150" s="218">
        <v>0.70999999999999974</v>
      </c>
      <c r="F150" s="26" t="s">
        <v>177</v>
      </c>
      <c r="G150" s="32" t="s">
        <v>31</v>
      </c>
    </row>
    <row r="151" spans="1:7" ht="15" customHeight="1" x14ac:dyDescent="0.2">
      <c r="A151" s="26" t="str">
        <f t="shared" si="3"/>
        <v>Grainger-Grainger County</v>
      </c>
      <c r="B151" s="27" t="s">
        <v>122</v>
      </c>
      <c r="C151" s="26" t="s">
        <v>319</v>
      </c>
      <c r="D151" s="31">
        <v>0.18</v>
      </c>
      <c r="E151" s="218">
        <v>0.8899999999999999</v>
      </c>
      <c r="F151" s="26" t="s">
        <v>59</v>
      </c>
      <c r="G151" s="32" t="s">
        <v>31</v>
      </c>
    </row>
    <row r="152" spans="1:7" ht="15" customHeight="1" x14ac:dyDescent="0.2">
      <c r="A152" s="26" t="str">
        <f t="shared" si="3"/>
        <v>Grainger-Bean Station</v>
      </c>
      <c r="B152" s="27" t="s">
        <v>122</v>
      </c>
      <c r="C152" s="26" t="s">
        <v>320</v>
      </c>
      <c r="D152" s="31">
        <v>0.21</v>
      </c>
      <c r="E152" s="218">
        <v>0.86999999999999988</v>
      </c>
      <c r="F152" s="26" t="s">
        <v>177</v>
      </c>
      <c r="G152" s="32" t="s">
        <v>31</v>
      </c>
    </row>
    <row r="153" spans="1:7" ht="15" customHeight="1" x14ac:dyDescent="0.2">
      <c r="A153" s="26" t="str">
        <f t="shared" si="3"/>
        <v>Grainger-Blaine</v>
      </c>
      <c r="B153" s="27" t="s">
        <v>122</v>
      </c>
      <c r="C153" s="26" t="s">
        <v>321</v>
      </c>
      <c r="D153" s="31">
        <v>0.22</v>
      </c>
      <c r="E153" s="218">
        <v>0.8899999999999999</v>
      </c>
      <c r="F153" s="26" t="s">
        <v>177</v>
      </c>
      <c r="G153" s="32" t="s">
        <v>31</v>
      </c>
    </row>
    <row r="154" spans="1:7" ht="15" customHeight="1" x14ac:dyDescent="0.2">
      <c r="A154" s="26" t="str">
        <f t="shared" si="3"/>
        <v>Grainger-Rutledge</v>
      </c>
      <c r="B154" s="27" t="s">
        <v>122</v>
      </c>
      <c r="C154" s="26" t="s">
        <v>322</v>
      </c>
      <c r="D154" s="31">
        <v>0.13</v>
      </c>
      <c r="E154" s="218">
        <v>0.8899999999999999</v>
      </c>
      <c r="F154" s="26" t="s">
        <v>177</v>
      </c>
      <c r="G154" s="32" t="s">
        <v>31</v>
      </c>
    </row>
    <row r="155" spans="1:7" ht="15" customHeight="1" x14ac:dyDescent="0.2">
      <c r="A155" s="26" t="str">
        <f t="shared" si="3"/>
        <v>Greene-Greene County</v>
      </c>
      <c r="B155" s="27" t="s">
        <v>123</v>
      </c>
      <c r="C155" s="26" t="s">
        <v>323</v>
      </c>
      <c r="D155" s="31">
        <v>0.19</v>
      </c>
      <c r="E155" s="218">
        <v>0.82999999999999985</v>
      </c>
      <c r="F155" s="26" t="s">
        <v>59</v>
      </c>
      <c r="G155" s="32" t="s">
        <v>31</v>
      </c>
    </row>
    <row r="156" spans="1:7" ht="15" customHeight="1" x14ac:dyDescent="0.2">
      <c r="A156" s="26" t="str">
        <f t="shared" si="3"/>
        <v>Greene-Baileyton</v>
      </c>
      <c r="B156" s="27" t="s">
        <v>123</v>
      </c>
      <c r="C156" s="26" t="s">
        <v>324</v>
      </c>
      <c r="D156" s="31">
        <v>0.14000000000000001</v>
      </c>
      <c r="E156" s="218">
        <v>0.78999999999999981</v>
      </c>
      <c r="F156" s="26" t="s">
        <v>177</v>
      </c>
      <c r="G156" s="32" t="s">
        <v>31</v>
      </c>
    </row>
    <row r="157" spans="1:7" ht="15" customHeight="1" x14ac:dyDescent="0.2">
      <c r="A157" s="26" t="str">
        <f t="shared" si="3"/>
        <v>Greene-Greeneville</v>
      </c>
      <c r="B157" s="27" t="s">
        <v>123</v>
      </c>
      <c r="C157" s="26" t="s">
        <v>325</v>
      </c>
      <c r="D157" s="31">
        <v>0.18</v>
      </c>
      <c r="E157" s="218">
        <v>0.67999999999999972</v>
      </c>
      <c r="F157" s="26" t="s">
        <v>177</v>
      </c>
      <c r="G157" s="32" t="s">
        <v>31</v>
      </c>
    </row>
    <row r="158" spans="1:7" ht="15" customHeight="1" x14ac:dyDescent="0.2">
      <c r="A158" s="26" t="str">
        <f t="shared" si="3"/>
        <v>Greene-Mosheim</v>
      </c>
      <c r="B158" s="27" t="s">
        <v>123</v>
      </c>
      <c r="C158" s="26" t="s">
        <v>326</v>
      </c>
      <c r="D158" s="31">
        <v>0.19</v>
      </c>
      <c r="E158" s="218">
        <v>0.81999999999999984</v>
      </c>
      <c r="F158" s="26" t="s">
        <v>177</v>
      </c>
      <c r="G158" s="32" t="s">
        <v>31</v>
      </c>
    </row>
    <row r="159" spans="1:7" ht="15" customHeight="1" x14ac:dyDescent="0.2">
      <c r="A159" s="26" t="str">
        <f t="shared" si="3"/>
        <v>Greene-Tusculum</v>
      </c>
      <c r="B159" s="27" t="s">
        <v>123</v>
      </c>
      <c r="C159" s="26" t="s">
        <v>327</v>
      </c>
      <c r="D159" s="31">
        <v>0.25</v>
      </c>
      <c r="E159" s="218">
        <v>0.85999999999999988</v>
      </c>
      <c r="F159" s="26" t="s">
        <v>177</v>
      </c>
      <c r="G159" s="32" t="s">
        <v>31</v>
      </c>
    </row>
    <row r="160" spans="1:7" ht="15" customHeight="1" x14ac:dyDescent="0.2">
      <c r="A160" s="26" t="str">
        <f t="shared" si="3"/>
        <v>Grundy-Grundy County</v>
      </c>
      <c r="B160" s="27" t="s">
        <v>94</v>
      </c>
      <c r="C160" s="26" t="s">
        <v>328</v>
      </c>
      <c r="D160" s="31">
        <v>0.12</v>
      </c>
      <c r="E160" s="218">
        <v>0.87999999999999989</v>
      </c>
      <c r="F160" s="26" t="s">
        <v>59</v>
      </c>
      <c r="G160" s="32" t="s">
        <v>31</v>
      </c>
    </row>
    <row r="161" spans="1:7" ht="15" customHeight="1" x14ac:dyDescent="0.2">
      <c r="A161" s="26" t="str">
        <f t="shared" si="3"/>
        <v>Grundy-Altamont</v>
      </c>
      <c r="B161" s="27" t="s">
        <v>94</v>
      </c>
      <c r="C161" s="26" t="s">
        <v>329</v>
      </c>
      <c r="D161" s="31">
        <v>0.13</v>
      </c>
      <c r="E161" s="218">
        <v>0.89999999999999991</v>
      </c>
      <c r="F161" s="26" t="s">
        <v>177</v>
      </c>
      <c r="G161" s="32" t="s">
        <v>31</v>
      </c>
    </row>
    <row r="162" spans="1:7" ht="15" customHeight="1" x14ac:dyDescent="0.2">
      <c r="A162" s="26" t="str">
        <f t="shared" si="3"/>
        <v>Grundy-Beersheba Springs</v>
      </c>
      <c r="B162" s="27" t="s">
        <v>94</v>
      </c>
      <c r="C162" s="26" t="s">
        <v>330</v>
      </c>
      <c r="D162" s="31">
        <v>0.17</v>
      </c>
      <c r="E162" s="218">
        <v>0.89999999999999991</v>
      </c>
      <c r="F162" s="26" t="s">
        <v>177</v>
      </c>
      <c r="G162" s="32" t="s">
        <v>31</v>
      </c>
    </row>
    <row r="163" spans="1:7" ht="15" customHeight="1" x14ac:dyDescent="0.2">
      <c r="A163" s="26" t="str">
        <f t="shared" si="3"/>
        <v>Grundy-Coalmont</v>
      </c>
      <c r="B163" s="27" t="s">
        <v>94</v>
      </c>
      <c r="C163" s="26" t="s">
        <v>331</v>
      </c>
      <c r="D163" s="31">
        <v>0.13</v>
      </c>
      <c r="E163" s="218">
        <v>0.90999999999999992</v>
      </c>
      <c r="F163" s="26" t="s">
        <v>177</v>
      </c>
      <c r="G163" s="32" t="s">
        <v>31</v>
      </c>
    </row>
    <row r="164" spans="1:7" ht="15" customHeight="1" x14ac:dyDescent="0.2">
      <c r="A164" s="26" t="str">
        <f t="shared" si="3"/>
        <v>Grundy-Gruetli-Laager</v>
      </c>
      <c r="B164" s="27" t="s">
        <v>94</v>
      </c>
      <c r="C164" s="26" t="s">
        <v>332</v>
      </c>
      <c r="D164" s="31">
        <v>0.18</v>
      </c>
      <c r="E164" s="218">
        <v>0.87999999999999989</v>
      </c>
      <c r="F164" s="26" t="s">
        <v>177</v>
      </c>
      <c r="G164" s="32" t="s">
        <v>31</v>
      </c>
    </row>
    <row r="165" spans="1:7" ht="15" customHeight="1" x14ac:dyDescent="0.2">
      <c r="A165" s="26" t="str">
        <f t="shared" si="3"/>
        <v>Grundy-Monteagle</v>
      </c>
      <c r="B165" s="27" t="s">
        <v>94</v>
      </c>
      <c r="C165" s="26" t="s">
        <v>333</v>
      </c>
      <c r="D165" s="31">
        <v>0.17</v>
      </c>
      <c r="E165" s="218">
        <v>0.79999999999999982</v>
      </c>
      <c r="F165" s="26" t="s">
        <v>177</v>
      </c>
      <c r="G165" s="32" t="s">
        <v>31</v>
      </c>
    </row>
    <row r="166" spans="1:7" ht="15" customHeight="1" x14ac:dyDescent="0.2">
      <c r="A166" s="26" t="str">
        <f t="shared" si="3"/>
        <v>Grundy-Palmer</v>
      </c>
      <c r="B166" s="27" t="s">
        <v>94</v>
      </c>
      <c r="C166" s="26" t="s">
        <v>334</v>
      </c>
      <c r="D166" s="31">
        <v>0.1</v>
      </c>
      <c r="E166" s="218">
        <v>0.90999999999999992</v>
      </c>
      <c r="F166" s="26" t="s">
        <v>177</v>
      </c>
      <c r="G166" s="32" t="s">
        <v>31</v>
      </c>
    </row>
    <row r="167" spans="1:7" ht="15" customHeight="1" x14ac:dyDescent="0.2">
      <c r="A167" s="26" t="str">
        <f t="shared" si="3"/>
        <v>Grundy-Tracy City</v>
      </c>
      <c r="B167" s="27" t="s">
        <v>94</v>
      </c>
      <c r="C167" s="26" t="s">
        <v>335</v>
      </c>
      <c r="D167" s="31">
        <v>0.17</v>
      </c>
      <c r="E167" s="218">
        <v>0.92999999999999994</v>
      </c>
      <c r="F167" s="26" t="s">
        <v>177</v>
      </c>
      <c r="G167" s="32" t="s">
        <v>31</v>
      </c>
    </row>
    <row r="168" spans="1:7" ht="15" customHeight="1" x14ac:dyDescent="0.2">
      <c r="A168" s="26" t="str">
        <f t="shared" si="3"/>
        <v>Hamblen-Hamblen County</v>
      </c>
      <c r="B168" s="27" t="s">
        <v>124</v>
      </c>
      <c r="C168" s="26" t="s">
        <v>336</v>
      </c>
      <c r="D168" s="31">
        <v>0.21</v>
      </c>
      <c r="E168" s="218">
        <v>0.7799999999999998</v>
      </c>
      <c r="F168" s="26" t="s">
        <v>59</v>
      </c>
      <c r="G168" s="32" t="s">
        <v>31</v>
      </c>
    </row>
    <row r="169" spans="1:7" ht="15" customHeight="1" x14ac:dyDescent="0.2">
      <c r="A169" s="26" t="str">
        <f t="shared" si="3"/>
        <v>Hamblen-Morristown</v>
      </c>
      <c r="B169" s="27" t="s">
        <v>124</v>
      </c>
      <c r="C169" s="26" t="s">
        <v>337</v>
      </c>
      <c r="D169" s="31">
        <v>0.15</v>
      </c>
      <c r="E169" s="218">
        <v>0.67999999999999972</v>
      </c>
      <c r="F169" s="26" t="s">
        <v>177</v>
      </c>
      <c r="G169" s="32" t="s">
        <v>31</v>
      </c>
    </row>
    <row r="170" spans="1:7" ht="15" customHeight="1" x14ac:dyDescent="0.2">
      <c r="A170" s="26" t="str">
        <f t="shared" si="3"/>
        <v>Hamilton-Hamilton County</v>
      </c>
      <c r="B170" s="27" t="s">
        <v>125</v>
      </c>
      <c r="C170" s="26" t="s">
        <v>338</v>
      </c>
      <c r="D170" s="31">
        <v>0.25</v>
      </c>
      <c r="E170" s="218">
        <v>0.72999999999999976</v>
      </c>
      <c r="F170" s="26" t="s">
        <v>59</v>
      </c>
      <c r="G170" s="32" t="s">
        <v>31</v>
      </c>
    </row>
    <row r="171" spans="1:7" ht="15" customHeight="1" x14ac:dyDescent="0.2">
      <c r="A171" s="26" t="str">
        <f t="shared" si="3"/>
        <v>Hamilton-Chattanooga</v>
      </c>
      <c r="B171" s="27" t="s">
        <v>125</v>
      </c>
      <c r="C171" s="26" t="s">
        <v>339</v>
      </c>
      <c r="D171" s="31">
        <v>0.23</v>
      </c>
      <c r="E171" s="218">
        <v>0.69999999999999973</v>
      </c>
      <c r="F171" s="26" t="s">
        <v>177</v>
      </c>
      <c r="G171" s="32" t="s">
        <v>31</v>
      </c>
    </row>
    <row r="172" spans="1:7" ht="15" customHeight="1" x14ac:dyDescent="0.2">
      <c r="A172" s="26" t="str">
        <f t="shared" si="3"/>
        <v>Hamilton-Collegedale</v>
      </c>
      <c r="B172" s="27" t="s">
        <v>125</v>
      </c>
      <c r="C172" s="26" t="s">
        <v>340</v>
      </c>
      <c r="D172" s="31">
        <v>0.26</v>
      </c>
      <c r="E172" s="218">
        <v>0.73999999999999977</v>
      </c>
      <c r="F172" s="26" t="s">
        <v>177</v>
      </c>
      <c r="G172" s="32" t="s">
        <v>31</v>
      </c>
    </row>
    <row r="173" spans="1:7" ht="15" customHeight="1" x14ac:dyDescent="0.2">
      <c r="A173" s="26" t="str">
        <f t="shared" si="3"/>
        <v>Hamilton-East Ridge</v>
      </c>
      <c r="B173" s="27" t="s">
        <v>125</v>
      </c>
      <c r="C173" s="26" t="s">
        <v>341</v>
      </c>
      <c r="D173" s="31">
        <v>0.24</v>
      </c>
      <c r="E173" s="218">
        <v>0.86999999999999988</v>
      </c>
      <c r="F173" s="26" t="s">
        <v>177</v>
      </c>
      <c r="G173" s="32" t="s">
        <v>31</v>
      </c>
    </row>
    <row r="174" spans="1:7" ht="15" customHeight="1" x14ac:dyDescent="0.2">
      <c r="A174" s="26" t="str">
        <f t="shared" si="3"/>
        <v>Hamilton-Lakesite</v>
      </c>
      <c r="B174" s="27" t="s">
        <v>125</v>
      </c>
      <c r="C174" s="26" t="s">
        <v>342</v>
      </c>
      <c r="D174" s="31">
        <v>0.28000000000000003</v>
      </c>
      <c r="E174" s="218">
        <v>0.75999999999999979</v>
      </c>
      <c r="F174" s="26" t="s">
        <v>177</v>
      </c>
      <c r="G174" s="32" t="s">
        <v>31</v>
      </c>
    </row>
    <row r="175" spans="1:7" ht="15" customHeight="1" x14ac:dyDescent="0.2">
      <c r="A175" s="26" t="str">
        <f t="shared" si="3"/>
        <v>Hamilton-Lookout Mountain</v>
      </c>
      <c r="B175" s="27" t="s">
        <v>125</v>
      </c>
      <c r="C175" s="26" t="s">
        <v>343</v>
      </c>
      <c r="D175" s="31">
        <v>0.3</v>
      </c>
      <c r="E175" s="218">
        <v>0.59999999999999964</v>
      </c>
      <c r="F175" s="26" t="s">
        <v>177</v>
      </c>
      <c r="G175" s="32" t="s">
        <v>31</v>
      </c>
    </row>
    <row r="176" spans="1:7" ht="15" customHeight="1" x14ac:dyDescent="0.2">
      <c r="A176" s="26" t="str">
        <f t="shared" si="3"/>
        <v>Hamilton-Red Bank</v>
      </c>
      <c r="B176" s="27" t="s">
        <v>125</v>
      </c>
      <c r="C176" s="26" t="s">
        <v>344</v>
      </c>
      <c r="D176" s="31">
        <v>0.23</v>
      </c>
      <c r="E176" s="218">
        <v>0.8899999999999999</v>
      </c>
      <c r="F176" s="26" t="s">
        <v>177</v>
      </c>
      <c r="G176" s="32" t="s">
        <v>31</v>
      </c>
    </row>
    <row r="177" spans="1:7" ht="15" customHeight="1" x14ac:dyDescent="0.2">
      <c r="A177" s="26" t="str">
        <f t="shared" si="3"/>
        <v>Hamilton-Ridgeside</v>
      </c>
      <c r="B177" s="27" t="s">
        <v>125</v>
      </c>
      <c r="C177" s="26" t="s">
        <v>345</v>
      </c>
      <c r="D177" s="31">
        <v>0.28999999999999998</v>
      </c>
      <c r="E177" s="218">
        <v>0.84999999999999987</v>
      </c>
      <c r="F177" s="26" t="s">
        <v>177</v>
      </c>
      <c r="G177" s="32" t="s">
        <v>31</v>
      </c>
    </row>
    <row r="178" spans="1:7" ht="15" customHeight="1" x14ac:dyDescent="0.2">
      <c r="A178" s="26" t="str">
        <f t="shared" si="3"/>
        <v>Hamilton-Signal Mountain</v>
      </c>
      <c r="B178" s="27" t="s">
        <v>125</v>
      </c>
      <c r="C178" s="26" t="s">
        <v>346</v>
      </c>
      <c r="D178" s="31">
        <v>0.3</v>
      </c>
      <c r="E178" s="218">
        <v>0.75999999999999979</v>
      </c>
      <c r="F178" s="26" t="s">
        <v>177</v>
      </c>
      <c r="G178" s="32" t="s">
        <v>31</v>
      </c>
    </row>
    <row r="179" spans="1:7" ht="15" customHeight="1" x14ac:dyDescent="0.2">
      <c r="A179" s="26" t="str">
        <f t="shared" si="3"/>
        <v>Hamilton-Soddy-Daisy</v>
      </c>
      <c r="B179" s="27" t="s">
        <v>125</v>
      </c>
      <c r="C179" s="26" t="s">
        <v>347</v>
      </c>
      <c r="D179" s="31">
        <v>0.25</v>
      </c>
      <c r="E179" s="218">
        <v>0.83999999999999986</v>
      </c>
      <c r="F179" s="26" t="s">
        <v>177</v>
      </c>
      <c r="G179" s="32" t="s">
        <v>31</v>
      </c>
    </row>
    <row r="180" spans="1:7" ht="15" customHeight="1" x14ac:dyDescent="0.2">
      <c r="A180" s="26" t="str">
        <f t="shared" si="3"/>
        <v>Hamilton-Walden</v>
      </c>
      <c r="B180" s="27" t="s">
        <v>125</v>
      </c>
      <c r="C180" s="26" t="s">
        <v>348</v>
      </c>
      <c r="D180" s="31">
        <v>0.28999999999999998</v>
      </c>
      <c r="E180" s="218">
        <v>0.67999999999999972</v>
      </c>
      <c r="F180" s="26" t="s">
        <v>177</v>
      </c>
      <c r="G180" s="32" t="s">
        <v>31</v>
      </c>
    </row>
    <row r="181" spans="1:7" ht="15" customHeight="1" x14ac:dyDescent="0.2">
      <c r="A181" s="26" t="str">
        <f t="shared" si="3"/>
        <v>Hancock-Hancock County</v>
      </c>
      <c r="B181" s="27" t="s">
        <v>126</v>
      </c>
      <c r="C181" s="26" t="s">
        <v>349</v>
      </c>
      <c r="D181" s="31">
        <v>0.1</v>
      </c>
      <c r="E181" s="218">
        <v>0.89999999999999991</v>
      </c>
      <c r="F181" s="26" t="s">
        <v>59</v>
      </c>
      <c r="G181" s="32" t="s">
        <v>31</v>
      </c>
    </row>
    <row r="182" spans="1:7" ht="15" customHeight="1" x14ac:dyDescent="0.2">
      <c r="A182" s="26" t="str">
        <f t="shared" si="3"/>
        <v>Hancock-Sneedville</v>
      </c>
      <c r="B182" s="27" t="s">
        <v>126</v>
      </c>
      <c r="C182" s="26" t="s">
        <v>350</v>
      </c>
      <c r="D182" s="31">
        <v>0.1</v>
      </c>
      <c r="E182" s="218">
        <v>0.86999999999999988</v>
      </c>
      <c r="F182" s="26" t="s">
        <v>177</v>
      </c>
      <c r="G182" s="32" t="s">
        <v>31</v>
      </c>
    </row>
    <row r="183" spans="1:7" ht="15" customHeight="1" x14ac:dyDescent="0.2">
      <c r="A183" s="26" t="str">
        <f t="shared" si="3"/>
        <v>Hardeman-Hardeman County</v>
      </c>
      <c r="B183" s="27" t="s">
        <v>127</v>
      </c>
      <c r="C183" s="26" t="s">
        <v>351</v>
      </c>
      <c r="D183" s="31">
        <v>0.16</v>
      </c>
      <c r="E183" s="218">
        <v>0.89999999999999991</v>
      </c>
      <c r="F183" s="26" t="s">
        <v>59</v>
      </c>
      <c r="G183" s="32" t="s">
        <v>31</v>
      </c>
    </row>
    <row r="184" spans="1:7" ht="15" customHeight="1" x14ac:dyDescent="0.2">
      <c r="A184" s="26" t="str">
        <f t="shared" si="3"/>
        <v>Hardeman-Bolivar</v>
      </c>
      <c r="B184" s="27" t="s">
        <v>127</v>
      </c>
      <c r="C184" s="26" t="s">
        <v>352</v>
      </c>
      <c r="D184" s="31">
        <v>0.12</v>
      </c>
      <c r="E184" s="218">
        <v>0.87999999999999989</v>
      </c>
      <c r="F184" s="26" t="s">
        <v>177</v>
      </c>
      <c r="G184" s="32" t="s">
        <v>31</v>
      </c>
    </row>
    <row r="185" spans="1:7" ht="15" customHeight="1" x14ac:dyDescent="0.2">
      <c r="A185" s="26" t="str">
        <f t="shared" si="3"/>
        <v>Hardeman-Grand Junction</v>
      </c>
      <c r="B185" s="27" t="s">
        <v>127</v>
      </c>
      <c r="C185" s="26" t="s">
        <v>286</v>
      </c>
      <c r="D185" s="31">
        <v>0.15</v>
      </c>
      <c r="E185" s="218">
        <v>0.78999999999999981</v>
      </c>
      <c r="F185" s="26" t="s">
        <v>177</v>
      </c>
      <c r="G185" s="32" t="s">
        <v>31</v>
      </c>
    </row>
    <row r="186" spans="1:7" ht="15" customHeight="1" x14ac:dyDescent="0.2">
      <c r="A186" s="26" t="str">
        <f t="shared" si="3"/>
        <v>Hardeman-Hickory Valley</v>
      </c>
      <c r="B186" s="27" t="s">
        <v>127</v>
      </c>
      <c r="C186" s="26" t="s">
        <v>353</v>
      </c>
      <c r="D186" s="31">
        <v>0.16</v>
      </c>
      <c r="E186" s="218">
        <v>0.79999999999999982</v>
      </c>
      <c r="F186" s="26" t="s">
        <v>177</v>
      </c>
      <c r="G186" s="32" t="s">
        <v>31</v>
      </c>
    </row>
    <row r="187" spans="1:7" ht="15" customHeight="1" x14ac:dyDescent="0.2">
      <c r="A187" s="26" t="str">
        <f t="shared" si="3"/>
        <v>Hardeman-Hornsby</v>
      </c>
      <c r="B187" s="27" t="s">
        <v>127</v>
      </c>
      <c r="C187" s="26" t="s">
        <v>354</v>
      </c>
      <c r="D187" s="31">
        <v>0.17</v>
      </c>
      <c r="E187" s="218">
        <v>0.95</v>
      </c>
      <c r="F187" s="26" t="s">
        <v>177</v>
      </c>
      <c r="G187" s="32" t="s">
        <v>31</v>
      </c>
    </row>
    <row r="188" spans="1:7" ht="15" customHeight="1" x14ac:dyDescent="0.2">
      <c r="A188" s="26" t="str">
        <f t="shared" si="3"/>
        <v>Hardeman-Middleton</v>
      </c>
      <c r="B188" s="27" t="s">
        <v>127</v>
      </c>
      <c r="C188" s="26" t="s">
        <v>355</v>
      </c>
      <c r="D188" s="31">
        <v>0.16</v>
      </c>
      <c r="E188" s="218">
        <v>0.7799999999999998</v>
      </c>
      <c r="F188" s="26" t="s">
        <v>177</v>
      </c>
      <c r="G188" s="32" t="s">
        <v>31</v>
      </c>
    </row>
    <row r="189" spans="1:7" ht="15" customHeight="1" x14ac:dyDescent="0.2">
      <c r="A189" s="26" t="str">
        <f t="shared" si="3"/>
        <v>Hardeman-Saulsbury</v>
      </c>
      <c r="B189" s="27" t="s">
        <v>127</v>
      </c>
      <c r="C189" s="26" t="s">
        <v>356</v>
      </c>
      <c r="D189" s="31">
        <v>0.24</v>
      </c>
      <c r="E189" s="218">
        <v>0.87999999999999989</v>
      </c>
      <c r="F189" s="26" t="s">
        <v>177</v>
      </c>
      <c r="G189" s="32" t="s">
        <v>31</v>
      </c>
    </row>
    <row r="190" spans="1:7" ht="15" customHeight="1" x14ac:dyDescent="0.2">
      <c r="A190" s="26" t="str">
        <f t="shared" si="3"/>
        <v>Hardeman-Silerton</v>
      </c>
      <c r="B190" s="27" t="s">
        <v>127</v>
      </c>
      <c r="C190" s="26" t="s">
        <v>231</v>
      </c>
      <c r="D190" s="31">
        <v>0.22</v>
      </c>
      <c r="E190" s="218">
        <v>0.96</v>
      </c>
      <c r="F190" s="26" t="s">
        <v>177</v>
      </c>
      <c r="G190" s="32" t="s">
        <v>31</v>
      </c>
    </row>
    <row r="191" spans="1:7" ht="15" customHeight="1" x14ac:dyDescent="0.2">
      <c r="A191" s="26" t="str">
        <f t="shared" si="3"/>
        <v>Hardeman-Toone</v>
      </c>
      <c r="B191" s="27" t="s">
        <v>127</v>
      </c>
      <c r="C191" s="26" t="s">
        <v>357</v>
      </c>
      <c r="D191" s="31">
        <v>0.1</v>
      </c>
      <c r="E191" s="218">
        <v>0.96</v>
      </c>
      <c r="F191" s="26" t="s">
        <v>177</v>
      </c>
      <c r="G191" s="32" t="s">
        <v>31</v>
      </c>
    </row>
    <row r="192" spans="1:7" ht="15" customHeight="1" x14ac:dyDescent="0.2">
      <c r="A192" s="26" t="str">
        <f t="shared" si="3"/>
        <v>Hardeman-Whiteville</v>
      </c>
      <c r="B192" s="27" t="s">
        <v>127</v>
      </c>
      <c r="C192" s="26" t="s">
        <v>358</v>
      </c>
      <c r="D192" s="31">
        <v>0.13</v>
      </c>
      <c r="E192" s="218">
        <v>0.96</v>
      </c>
      <c r="F192" s="26" t="s">
        <v>177</v>
      </c>
      <c r="G192" s="32" t="s">
        <v>31</v>
      </c>
    </row>
    <row r="193" spans="1:7" ht="15" customHeight="1" x14ac:dyDescent="0.2">
      <c r="A193" s="26" t="str">
        <f t="shared" si="3"/>
        <v>Hardin-Hardin County</v>
      </c>
      <c r="B193" s="27" t="s">
        <v>128</v>
      </c>
      <c r="C193" s="26" t="s">
        <v>359</v>
      </c>
      <c r="D193" s="31">
        <v>0.17</v>
      </c>
      <c r="E193" s="218">
        <v>0.75999999999999979</v>
      </c>
      <c r="F193" s="26" t="s">
        <v>59</v>
      </c>
      <c r="G193" s="32" t="s">
        <v>31</v>
      </c>
    </row>
    <row r="194" spans="1:7" ht="15" customHeight="1" x14ac:dyDescent="0.2">
      <c r="A194" s="26" t="str">
        <f t="shared" ref="A194:A257" si="4">B194&amp;"-"&amp;C194</f>
        <v>Hardin-Adamsville</v>
      </c>
      <c r="B194" s="27" t="s">
        <v>128</v>
      </c>
      <c r="C194" s="26" t="s">
        <v>360</v>
      </c>
      <c r="D194" s="31">
        <v>0.12</v>
      </c>
      <c r="E194" s="218">
        <v>0.82999999999999985</v>
      </c>
      <c r="F194" s="26" t="s">
        <v>177</v>
      </c>
      <c r="G194" s="32" t="s">
        <v>31</v>
      </c>
    </row>
    <row r="195" spans="1:7" x14ac:dyDescent="0.2">
      <c r="A195" s="26" t="str">
        <f t="shared" si="4"/>
        <v>Hardin-Crump</v>
      </c>
      <c r="B195" s="27" t="s">
        <v>128</v>
      </c>
      <c r="C195" s="26" t="s">
        <v>361</v>
      </c>
      <c r="D195" s="31">
        <v>0.18</v>
      </c>
      <c r="E195" s="218">
        <v>0.7799999999999998</v>
      </c>
      <c r="F195" s="26" t="s">
        <v>177</v>
      </c>
      <c r="G195" s="32" t="s">
        <v>31</v>
      </c>
    </row>
    <row r="196" spans="1:7" x14ac:dyDescent="0.2">
      <c r="A196" s="26" t="str">
        <f t="shared" si="4"/>
        <v>Hardin-Milledgeville</v>
      </c>
      <c r="B196" s="27" t="s">
        <v>128</v>
      </c>
      <c r="C196" s="34" t="s">
        <v>230</v>
      </c>
      <c r="D196" s="31">
        <v>0.19</v>
      </c>
      <c r="E196" s="218">
        <v>0.85999999999999988</v>
      </c>
      <c r="F196" s="26" t="s">
        <v>177</v>
      </c>
      <c r="G196" s="32" t="s">
        <v>31</v>
      </c>
    </row>
    <row r="197" spans="1:7" ht="15" customHeight="1" x14ac:dyDescent="0.2">
      <c r="A197" s="26" t="str">
        <f t="shared" si="4"/>
        <v>Hardin-Saltillo</v>
      </c>
      <c r="B197" s="27" t="s">
        <v>128</v>
      </c>
      <c r="C197" s="26" t="s">
        <v>362</v>
      </c>
      <c r="D197" s="31">
        <v>0.23</v>
      </c>
      <c r="E197" s="218">
        <v>0.83999999999999986</v>
      </c>
      <c r="F197" s="26" t="s">
        <v>177</v>
      </c>
      <c r="G197" s="32" t="s">
        <v>31</v>
      </c>
    </row>
    <row r="198" spans="1:7" ht="15" customHeight="1" x14ac:dyDescent="0.2">
      <c r="A198" s="26" t="str">
        <f t="shared" si="4"/>
        <v>Hardin-Savannah</v>
      </c>
      <c r="B198" s="27" t="s">
        <v>128</v>
      </c>
      <c r="C198" s="26" t="s">
        <v>363</v>
      </c>
      <c r="D198" s="31">
        <v>0.11</v>
      </c>
      <c r="E198" s="218">
        <v>0.78999999999999981</v>
      </c>
      <c r="F198" s="26" t="s">
        <v>177</v>
      </c>
      <c r="G198" s="32" t="s">
        <v>31</v>
      </c>
    </row>
    <row r="199" spans="1:7" ht="15" customHeight="1" x14ac:dyDescent="0.2">
      <c r="A199" s="26" t="str">
        <f t="shared" si="4"/>
        <v>Hawkins-Hawkins County</v>
      </c>
      <c r="B199" s="27" t="s">
        <v>129</v>
      </c>
      <c r="C199" s="26" t="s">
        <v>364</v>
      </c>
      <c r="D199" s="31">
        <v>0.18</v>
      </c>
      <c r="E199" s="218">
        <v>0.84999999999999987</v>
      </c>
      <c r="F199" s="26" t="s">
        <v>59</v>
      </c>
      <c r="G199" s="32" t="s">
        <v>31</v>
      </c>
    </row>
    <row r="200" spans="1:7" ht="15" customHeight="1" x14ac:dyDescent="0.2">
      <c r="A200" s="26" t="str">
        <f t="shared" si="4"/>
        <v>Hawkins-Bulls Gap</v>
      </c>
      <c r="B200" s="27" t="s">
        <v>129</v>
      </c>
      <c r="C200" s="26" t="s">
        <v>365</v>
      </c>
      <c r="D200" s="31">
        <v>0.21</v>
      </c>
      <c r="E200" s="218">
        <v>0.69999999999999973</v>
      </c>
      <c r="F200" s="26" t="s">
        <v>177</v>
      </c>
      <c r="G200" s="32" t="s">
        <v>31</v>
      </c>
    </row>
    <row r="201" spans="1:7" ht="15" customHeight="1" x14ac:dyDescent="0.2">
      <c r="A201" s="26" t="str">
        <f t="shared" si="4"/>
        <v>Hawkins-Church Hill</v>
      </c>
      <c r="B201" s="27" t="s">
        <v>129</v>
      </c>
      <c r="C201" s="26" t="s">
        <v>366</v>
      </c>
      <c r="D201" s="31">
        <v>0.22</v>
      </c>
      <c r="E201" s="218">
        <v>0.83999999999999986</v>
      </c>
      <c r="F201" s="26" t="s">
        <v>177</v>
      </c>
      <c r="G201" s="32" t="s">
        <v>31</v>
      </c>
    </row>
    <row r="202" spans="1:7" ht="15" customHeight="1" x14ac:dyDescent="0.2">
      <c r="A202" s="26" t="str">
        <f t="shared" si="4"/>
        <v>Hawkins-Kingsport</v>
      </c>
      <c r="B202" s="27" t="s">
        <v>129</v>
      </c>
      <c r="C202" s="26" t="s">
        <v>367</v>
      </c>
      <c r="D202" s="31">
        <v>0.18</v>
      </c>
      <c r="E202" s="218">
        <v>0.61999999999999966</v>
      </c>
      <c r="F202" s="26" t="s">
        <v>177</v>
      </c>
      <c r="G202" s="32" t="s">
        <v>31</v>
      </c>
    </row>
    <row r="203" spans="1:7" ht="15" customHeight="1" x14ac:dyDescent="0.2">
      <c r="A203" s="26" t="str">
        <f t="shared" si="4"/>
        <v>Hawkins-Mount Carmel</v>
      </c>
      <c r="B203" s="27" t="s">
        <v>129</v>
      </c>
      <c r="C203" s="26" t="s">
        <v>368</v>
      </c>
      <c r="D203" s="31">
        <v>0.22</v>
      </c>
      <c r="E203" s="218">
        <v>0.89999999999999991</v>
      </c>
      <c r="F203" s="26" t="s">
        <v>177</v>
      </c>
      <c r="G203" s="32" t="s">
        <v>31</v>
      </c>
    </row>
    <row r="204" spans="1:7" ht="15" customHeight="1" x14ac:dyDescent="0.2">
      <c r="A204" s="26" t="str">
        <f t="shared" si="4"/>
        <v>Hawkins-Rogersville</v>
      </c>
      <c r="B204" s="27" t="s">
        <v>129</v>
      </c>
      <c r="C204" s="26" t="s">
        <v>369</v>
      </c>
      <c r="D204" s="31">
        <v>0.16</v>
      </c>
      <c r="E204" s="218">
        <v>0.70999999999999974</v>
      </c>
      <c r="F204" s="26" t="s">
        <v>177</v>
      </c>
      <c r="G204" s="32" t="s">
        <v>31</v>
      </c>
    </row>
    <row r="205" spans="1:7" ht="15" customHeight="1" x14ac:dyDescent="0.2">
      <c r="A205" s="26" t="str">
        <f t="shared" si="4"/>
        <v>Hawkins-Surgoinsville</v>
      </c>
      <c r="B205" s="27" t="s">
        <v>129</v>
      </c>
      <c r="C205" s="26" t="s">
        <v>370</v>
      </c>
      <c r="D205" s="31">
        <v>0.19</v>
      </c>
      <c r="E205" s="218">
        <v>0.87999999999999989</v>
      </c>
      <c r="F205" s="26" t="s">
        <v>177</v>
      </c>
      <c r="G205" s="32" t="s">
        <v>31</v>
      </c>
    </row>
    <row r="206" spans="1:7" x14ac:dyDescent="0.2">
      <c r="A206" s="26" t="str">
        <f t="shared" si="4"/>
        <v>Haywood-Haywood County</v>
      </c>
      <c r="B206" s="27" t="s">
        <v>130</v>
      </c>
      <c r="C206" s="26" t="s">
        <v>371</v>
      </c>
      <c r="D206" s="31">
        <v>0.13</v>
      </c>
      <c r="E206" s="218">
        <v>0.82999999999999985</v>
      </c>
      <c r="F206" s="26" t="s">
        <v>59</v>
      </c>
      <c r="G206" s="32" t="s">
        <v>31</v>
      </c>
    </row>
    <row r="207" spans="1:7" ht="15" customHeight="1" x14ac:dyDescent="0.2">
      <c r="A207" s="26" t="str">
        <f t="shared" si="4"/>
        <v>Haywood-Brownsville</v>
      </c>
      <c r="B207" s="27" t="s">
        <v>130</v>
      </c>
      <c r="C207" s="26" t="s">
        <v>372</v>
      </c>
      <c r="D207" s="31">
        <v>0.11</v>
      </c>
      <c r="E207" s="218">
        <v>0.84999999999999987</v>
      </c>
      <c r="F207" s="26" t="s">
        <v>177</v>
      </c>
      <c r="G207" s="32" t="s">
        <v>31</v>
      </c>
    </row>
    <row r="208" spans="1:7" ht="15" customHeight="1" x14ac:dyDescent="0.2">
      <c r="A208" s="26" t="str">
        <f t="shared" si="4"/>
        <v>Haywood-Stanton</v>
      </c>
      <c r="B208" s="27" t="s">
        <v>130</v>
      </c>
      <c r="C208" s="26" t="s">
        <v>373</v>
      </c>
      <c r="D208" s="31">
        <v>0.1</v>
      </c>
      <c r="E208" s="218">
        <v>0.94</v>
      </c>
      <c r="F208" s="26" t="s">
        <v>177</v>
      </c>
      <c r="G208" s="32" t="s">
        <v>31</v>
      </c>
    </row>
    <row r="209" spans="1:7" ht="15" customHeight="1" x14ac:dyDescent="0.2">
      <c r="A209" s="26" t="str">
        <f t="shared" si="4"/>
        <v>Henderson-Henderson County</v>
      </c>
      <c r="B209" s="27" t="s">
        <v>75</v>
      </c>
      <c r="C209" s="26" t="s">
        <v>374</v>
      </c>
      <c r="D209" s="31">
        <v>0.19</v>
      </c>
      <c r="E209" s="218">
        <v>0.87999999999999989</v>
      </c>
      <c r="F209" s="26" t="s">
        <v>59</v>
      </c>
      <c r="G209" s="32" t="s">
        <v>31</v>
      </c>
    </row>
    <row r="210" spans="1:7" ht="15" customHeight="1" x14ac:dyDescent="0.2">
      <c r="A210" s="26" t="str">
        <f t="shared" si="4"/>
        <v>Henderson-Lexington</v>
      </c>
      <c r="B210" s="27" t="s">
        <v>75</v>
      </c>
      <c r="C210" s="26" t="s">
        <v>375</v>
      </c>
      <c r="D210" s="31">
        <v>0.15</v>
      </c>
      <c r="E210" s="218">
        <v>0.75999999999999979</v>
      </c>
      <c r="F210" s="26" t="s">
        <v>177</v>
      </c>
      <c r="G210" s="32" t="s">
        <v>31</v>
      </c>
    </row>
    <row r="211" spans="1:7" ht="15" customHeight="1" x14ac:dyDescent="0.2">
      <c r="A211" s="26" t="str">
        <f t="shared" si="4"/>
        <v>Henderson-Parkers Crossroads</v>
      </c>
      <c r="B211" s="27" t="s">
        <v>75</v>
      </c>
      <c r="C211" s="26" t="s">
        <v>376</v>
      </c>
      <c r="D211" s="31">
        <v>0.2</v>
      </c>
      <c r="E211" s="218">
        <v>0.84999999999999987</v>
      </c>
      <c r="F211" s="26" t="s">
        <v>177</v>
      </c>
      <c r="G211" s="32" t="s">
        <v>31</v>
      </c>
    </row>
    <row r="212" spans="1:7" ht="15" customHeight="1" x14ac:dyDescent="0.2">
      <c r="A212" s="26" t="str">
        <f t="shared" si="4"/>
        <v>Henderson-Sardis</v>
      </c>
      <c r="B212" s="27" t="s">
        <v>75</v>
      </c>
      <c r="C212" s="26" t="s">
        <v>377</v>
      </c>
      <c r="D212" s="31">
        <v>0.21</v>
      </c>
      <c r="E212" s="218">
        <v>0.95</v>
      </c>
      <c r="F212" s="26" t="s">
        <v>177</v>
      </c>
      <c r="G212" s="32" t="s">
        <v>31</v>
      </c>
    </row>
    <row r="213" spans="1:7" ht="15" customHeight="1" x14ac:dyDescent="0.2">
      <c r="A213" s="26" t="str">
        <f t="shared" si="4"/>
        <v>Henderson-Scotts Hill</v>
      </c>
      <c r="B213" s="27" t="s">
        <v>75</v>
      </c>
      <c r="C213" s="26" t="s">
        <v>267</v>
      </c>
      <c r="D213" s="31">
        <v>0.18</v>
      </c>
      <c r="E213" s="218">
        <v>0.90999999999999992</v>
      </c>
      <c r="F213" s="26" t="s">
        <v>177</v>
      </c>
      <c r="G213" s="32" t="s">
        <v>31</v>
      </c>
    </row>
    <row r="214" spans="1:7" ht="15" customHeight="1" x14ac:dyDescent="0.2">
      <c r="A214" s="26" t="str">
        <f t="shared" si="4"/>
        <v>Henry-Henry County</v>
      </c>
      <c r="B214" s="27" t="s">
        <v>84</v>
      </c>
      <c r="C214" s="26" t="s">
        <v>378</v>
      </c>
      <c r="D214" s="31">
        <v>0.18</v>
      </c>
      <c r="E214" s="218">
        <v>0.83999999999999986</v>
      </c>
      <c r="F214" s="26" t="s">
        <v>59</v>
      </c>
      <c r="G214" s="32" t="s">
        <v>31</v>
      </c>
    </row>
    <row r="215" spans="1:7" ht="15" customHeight="1" x14ac:dyDescent="0.2">
      <c r="A215" s="26" t="str">
        <f t="shared" si="4"/>
        <v>Henry-Cottage Grove</v>
      </c>
      <c r="B215" s="27" t="s">
        <v>84</v>
      </c>
      <c r="C215" s="26" t="s">
        <v>379</v>
      </c>
      <c r="D215" s="31">
        <v>0.18</v>
      </c>
      <c r="E215" s="218">
        <v>0.96</v>
      </c>
      <c r="F215" s="26" t="s">
        <v>177</v>
      </c>
      <c r="G215" s="32" t="s">
        <v>31</v>
      </c>
    </row>
    <row r="216" spans="1:7" ht="15" customHeight="1" x14ac:dyDescent="0.2">
      <c r="A216" s="26" t="str">
        <f t="shared" si="4"/>
        <v>Henry-Henry</v>
      </c>
      <c r="B216" s="27" t="s">
        <v>84</v>
      </c>
      <c r="C216" s="26" t="s">
        <v>84</v>
      </c>
      <c r="D216" s="31">
        <v>0.15</v>
      </c>
      <c r="E216" s="218">
        <v>0.96</v>
      </c>
      <c r="F216" s="26" t="s">
        <v>177</v>
      </c>
      <c r="G216" s="32" t="s">
        <v>31</v>
      </c>
    </row>
    <row r="217" spans="1:7" ht="15" customHeight="1" x14ac:dyDescent="0.2">
      <c r="A217" s="26" t="str">
        <f t="shared" si="4"/>
        <v>Henry-McKenzie</v>
      </c>
      <c r="B217" s="27" t="s">
        <v>84</v>
      </c>
      <c r="C217" s="26" t="s">
        <v>216</v>
      </c>
      <c r="D217" s="31">
        <v>0.15</v>
      </c>
      <c r="E217" s="218">
        <v>0.89999999999999991</v>
      </c>
      <c r="F217" s="26" t="s">
        <v>177</v>
      </c>
      <c r="G217" s="32" t="s">
        <v>31</v>
      </c>
    </row>
    <row r="218" spans="1:7" ht="15" customHeight="1" x14ac:dyDescent="0.2">
      <c r="A218" s="26" t="str">
        <f t="shared" si="4"/>
        <v>Henry-Paris</v>
      </c>
      <c r="B218" s="27" t="s">
        <v>84</v>
      </c>
      <c r="C218" s="26" t="s">
        <v>380</v>
      </c>
      <c r="D218" s="31">
        <v>0.14000000000000001</v>
      </c>
      <c r="E218" s="218">
        <v>0.79999999999999982</v>
      </c>
      <c r="F218" s="26" t="s">
        <v>177</v>
      </c>
      <c r="G218" s="32" t="s">
        <v>31</v>
      </c>
    </row>
    <row r="219" spans="1:7" ht="15" customHeight="1" x14ac:dyDescent="0.2">
      <c r="A219" s="26" t="str">
        <f t="shared" si="4"/>
        <v>Henry-Puryear</v>
      </c>
      <c r="B219" s="27" t="s">
        <v>84</v>
      </c>
      <c r="C219" s="26" t="s">
        <v>381</v>
      </c>
      <c r="D219" s="31">
        <v>0.16</v>
      </c>
      <c r="E219" s="218">
        <v>0.94</v>
      </c>
      <c r="F219" s="26" t="s">
        <v>177</v>
      </c>
      <c r="G219" s="32" t="s">
        <v>31</v>
      </c>
    </row>
    <row r="220" spans="1:7" ht="15" customHeight="1" x14ac:dyDescent="0.2">
      <c r="A220" s="26" t="str">
        <f t="shared" si="4"/>
        <v>Hickman-Hickman County</v>
      </c>
      <c r="B220" s="27" t="s">
        <v>65</v>
      </c>
      <c r="C220" s="26" t="s">
        <v>382</v>
      </c>
      <c r="D220" s="31">
        <v>0.21</v>
      </c>
      <c r="E220" s="218">
        <v>0.89999999999999991</v>
      </c>
      <c r="F220" s="26" t="s">
        <v>59</v>
      </c>
      <c r="G220" s="32" t="s">
        <v>31</v>
      </c>
    </row>
    <row r="221" spans="1:7" ht="15" customHeight="1" x14ac:dyDescent="0.2">
      <c r="A221" s="26" t="str">
        <f t="shared" si="4"/>
        <v>Hickman-Centerville</v>
      </c>
      <c r="B221" s="27" t="s">
        <v>65</v>
      </c>
      <c r="C221" s="26" t="s">
        <v>383</v>
      </c>
      <c r="D221" s="31">
        <v>0.23</v>
      </c>
      <c r="E221" s="218">
        <v>0.86999999999999988</v>
      </c>
      <c r="F221" s="26" t="s">
        <v>177</v>
      </c>
      <c r="G221" s="32" t="s">
        <v>31</v>
      </c>
    </row>
    <row r="222" spans="1:7" ht="15" customHeight="1" x14ac:dyDescent="0.2">
      <c r="A222" s="26" t="str">
        <f t="shared" si="4"/>
        <v>Houston-Houston County</v>
      </c>
      <c r="B222" s="27" t="s">
        <v>71</v>
      </c>
      <c r="C222" s="26" t="s">
        <v>384</v>
      </c>
      <c r="D222" s="31">
        <v>0.2</v>
      </c>
      <c r="E222" s="218">
        <v>0.8899999999999999</v>
      </c>
      <c r="F222" s="26" t="s">
        <v>59</v>
      </c>
      <c r="G222" s="32" t="s">
        <v>31</v>
      </c>
    </row>
    <row r="223" spans="1:7" ht="15" customHeight="1" x14ac:dyDescent="0.2">
      <c r="A223" s="26" t="str">
        <f t="shared" si="4"/>
        <v>Houston-Erin</v>
      </c>
      <c r="B223" s="27" t="s">
        <v>71</v>
      </c>
      <c r="C223" s="26" t="s">
        <v>385</v>
      </c>
      <c r="D223" s="31">
        <v>0.17</v>
      </c>
      <c r="E223" s="218">
        <v>0.84999999999999987</v>
      </c>
      <c r="F223" s="26" t="s">
        <v>177</v>
      </c>
      <c r="G223" s="32" t="s">
        <v>31</v>
      </c>
    </row>
    <row r="224" spans="1:7" ht="15" customHeight="1" x14ac:dyDescent="0.2">
      <c r="A224" s="26" t="str">
        <f t="shared" si="4"/>
        <v>Houston-Tennessee Ridge</v>
      </c>
      <c r="B224" s="27" t="s">
        <v>71</v>
      </c>
      <c r="C224" s="26" t="s">
        <v>386</v>
      </c>
      <c r="D224" s="31">
        <v>0.2</v>
      </c>
      <c r="E224" s="218">
        <v>0.95</v>
      </c>
      <c r="F224" s="26" t="s">
        <v>177</v>
      </c>
      <c r="G224" s="32" t="s">
        <v>31</v>
      </c>
    </row>
    <row r="225" spans="1:7" ht="15" customHeight="1" x14ac:dyDescent="0.2">
      <c r="A225" s="26" t="str">
        <f t="shared" si="4"/>
        <v>Humphreys-Humphreys County</v>
      </c>
      <c r="B225" s="27" t="s">
        <v>131</v>
      </c>
      <c r="C225" s="26" t="s">
        <v>387</v>
      </c>
      <c r="D225" s="31">
        <v>0.22</v>
      </c>
      <c r="E225" s="218">
        <v>0.79999999999999982</v>
      </c>
      <c r="F225" s="26" t="s">
        <v>59</v>
      </c>
      <c r="G225" s="32" t="s">
        <v>31</v>
      </c>
    </row>
    <row r="226" spans="1:7" ht="15" customHeight="1" x14ac:dyDescent="0.2">
      <c r="A226" s="26" t="str">
        <f t="shared" si="4"/>
        <v>Humphreys-McEwen</v>
      </c>
      <c r="B226" s="27" t="s">
        <v>131</v>
      </c>
      <c r="C226" s="26" t="s">
        <v>388</v>
      </c>
      <c r="D226" s="31">
        <v>0.22</v>
      </c>
      <c r="E226" s="218">
        <v>0.89999999999999991</v>
      </c>
      <c r="F226" s="26" t="s">
        <v>177</v>
      </c>
      <c r="G226" s="32" t="s">
        <v>31</v>
      </c>
    </row>
    <row r="227" spans="1:7" ht="15" customHeight="1" x14ac:dyDescent="0.2">
      <c r="A227" s="26" t="str">
        <f t="shared" si="4"/>
        <v>Humphreys-New Johnsonville</v>
      </c>
      <c r="B227" s="27" t="s">
        <v>131</v>
      </c>
      <c r="C227" s="26" t="s">
        <v>389</v>
      </c>
      <c r="D227" s="31">
        <v>0.26</v>
      </c>
      <c r="E227" s="218">
        <v>0.86999999999999988</v>
      </c>
      <c r="F227" s="26" t="s">
        <v>177</v>
      </c>
      <c r="G227" s="32" t="s">
        <v>31</v>
      </c>
    </row>
    <row r="228" spans="1:7" ht="15" customHeight="1" x14ac:dyDescent="0.2">
      <c r="A228" s="26" t="str">
        <f t="shared" si="4"/>
        <v>Humphreys-Waverly</v>
      </c>
      <c r="B228" s="27" t="s">
        <v>131</v>
      </c>
      <c r="C228" s="26" t="s">
        <v>390</v>
      </c>
      <c r="D228" s="31">
        <v>0.23</v>
      </c>
      <c r="E228" s="218">
        <v>0.79999999999999982</v>
      </c>
      <c r="F228" s="26" t="s">
        <v>177</v>
      </c>
      <c r="G228" s="32" t="s">
        <v>31</v>
      </c>
    </row>
    <row r="229" spans="1:7" ht="15" customHeight="1" x14ac:dyDescent="0.2">
      <c r="A229" s="26" t="str">
        <f t="shared" si="4"/>
        <v>Jackson-Jackson County</v>
      </c>
      <c r="B229" s="27" t="s">
        <v>132</v>
      </c>
      <c r="C229" s="26" t="s">
        <v>391</v>
      </c>
      <c r="D229" s="31">
        <v>0.17</v>
      </c>
      <c r="E229" s="218">
        <v>0.89999999999999991</v>
      </c>
      <c r="F229" s="26" t="s">
        <v>59</v>
      </c>
      <c r="G229" s="32" t="s">
        <v>31</v>
      </c>
    </row>
    <row r="230" spans="1:7" ht="15" customHeight="1" x14ac:dyDescent="0.2">
      <c r="A230" s="26" t="str">
        <f t="shared" si="4"/>
        <v>Jackson-Gainesboro</v>
      </c>
      <c r="B230" s="27" t="s">
        <v>132</v>
      </c>
      <c r="C230" s="26" t="s">
        <v>392</v>
      </c>
      <c r="D230" s="31">
        <v>0.12</v>
      </c>
      <c r="E230" s="218">
        <v>0.7799999999999998</v>
      </c>
      <c r="F230" s="26" t="s">
        <v>177</v>
      </c>
      <c r="G230" s="32" t="s">
        <v>31</v>
      </c>
    </row>
    <row r="231" spans="1:7" ht="15" customHeight="1" x14ac:dyDescent="0.2">
      <c r="A231" s="26" t="str">
        <f t="shared" si="4"/>
        <v>Jefferson-Jefferson County</v>
      </c>
      <c r="B231" s="27" t="s">
        <v>78</v>
      </c>
      <c r="C231" s="26" t="s">
        <v>393</v>
      </c>
      <c r="D231" s="31">
        <v>0.23</v>
      </c>
      <c r="E231" s="218">
        <v>0.80999999999999983</v>
      </c>
      <c r="F231" s="26" t="s">
        <v>59</v>
      </c>
      <c r="G231" s="32" t="s">
        <v>31</v>
      </c>
    </row>
    <row r="232" spans="1:7" ht="15" customHeight="1" x14ac:dyDescent="0.2">
      <c r="A232" s="26" t="str">
        <f t="shared" si="4"/>
        <v>Jefferson-Baneberry</v>
      </c>
      <c r="B232" s="27" t="s">
        <v>78</v>
      </c>
      <c r="C232" s="26" t="s">
        <v>394</v>
      </c>
      <c r="D232" s="31">
        <v>0.28999999999999998</v>
      </c>
      <c r="E232" s="218">
        <v>0.64999999999999969</v>
      </c>
      <c r="F232" s="26" t="s">
        <v>177</v>
      </c>
      <c r="G232" s="32" t="s">
        <v>31</v>
      </c>
    </row>
    <row r="233" spans="1:7" ht="15" customHeight="1" x14ac:dyDescent="0.2">
      <c r="A233" s="26" t="str">
        <f t="shared" si="4"/>
        <v>Jefferson-Dandridge</v>
      </c>
      <c r="B233" s="27" t="s">
        <v>78</v>
      </c>
      <c r="C233" s="26" t="s">
        <v>395</v>
      </c>
      <c r="D233" s="31">
        <v>0.25</v>
      </c>
      <c r="E233" s="218">
        <v>0.64999999999999969</v>
      </c>
      <c r="F233" s="26" t="s">
        <v>177</v>
      </c>
      <c r="G233" s="32" t="s">
        <v>31</v>
      </c>
    </row>
    <row r="234" spans="1:7" ht="15" customHeight="1" x14ac:dyDescent="0.2">
      <c r="A234" s="26" t="str">
        <f t="shared" si="4"/>
        <v>Jefferson-Jefferson City</v>
      </c>
      <c r="B234" s="27" t="s">
        <v>78</v>
      </c>
      <c r="C234" s="26" t="s">
        <v>396</v>
      </c>
      <c r="D234" s="31">
        <v>0.17</v>
      </c>
      <c r="E234" s="218">
        <v>0.79999999999999982</v>
      </c>
      <c r="F234" s="26" t="s">
        <v>177</v>
      </c>
      <c r="G234" s="32" t="s">
        <v>31</v>
      </c>
    </row>
    <row r="235" spans="1:7" ht="15" customHeight="1" x14ac:dyDescent="0.2">
      <c r="A235" s="26" t="str">
        <f t="shared" si="4"/>
        <v>Jefferson-New Market</v>
      </c>
      <c r="B235" s="27" t="s">
        <v>78</v>
      </c>
      <c r="C235" s="26" t="s">
        <v>397</v>
      </c>
      <c r="D235" s="31">
        <v>0.25</v>
      </c>
      <c r="E235" s="218">
        <v>0.82999999999999985</v>
      </c>
      <c r="F235" s="26" t="s">
        <v>177</v>
      </c>
      <c r="G235" s="32" t="s">
        <v>31</v>
      </c>
    </row>
    <row r="236" spans="1:7" ht="15" customHeight="1" x14ac:dyDescent="0.2">
      <c r="A236" s="26" t="str">
        <f t="shared" si="4"/>
        <v>Jefferson-White Pine</v>
      </c>
      <c r="B236" s="27" t="s">
        <v>78</v>
      </c>
      <c r="C236" s="26" t="s">
        <v>398</v>
      </c>
      <c r="D236" s="31">
        <v>0.17</v>
      </c>
      <c r="E236" s="218">
        <v>0.81999999999999984</v>
      </c>
      <c r="F236" s="26" t="s">
        <v>177</v>
      </c>
      <c r="G236" s="32" t="s">
        <v>31</v>
      </c>
    </row>
    <row r="237" spans="1:7" ht="15" customHeight="1" x14ac:dyDescent="0.2">
      <c r="A237" s="26" t="str">
        <f t="shared" si="4"/>
        <v>Johnson-Johnson County</v>
      </c>
      <c r="B237" s="27" t="s">
        <v>133</v>
      </c>
      <c r="C237" s="26" t="s">
        <v>399</v>
      </c>
      <c r="D237" s="31">
        <v>0.15</v>
      </c>
      <c r="E237" s="218">
        <v>0.86999999999999988</v>
      </c>
      <c r="F237" s="26" t="s">
        <v>59</v>
      </c>
      <c r="G237" s="32" t="s">
        <v>31</v>
      </c>
    </row>
    <row r="238" spans="1:7" ht="15" customHeight="1" x14ac:dyDescent="0.2">
      <c r="A238" s="26" t="str">
        <f t="shared" si="4"/>
        <v>Johnson-Mountain City</v>
      </c>
      <c r="B238" s="27" t="s">
        <v>133</v>
      </c>
      <c r="C238" s="26" t="s">
        <v>400</v>
      </c>
      <c r="D238" s="31">
        <v>0.11</v>
      </c>
      <c r="E238" s="218">
        <v>0.78999999999999981</v>
      </c>
      <c r="F238" s="26" t="s">
        <v>177</v>
      </c>
      <c r="G238" s="32" t="s">
        <v>31</v>
      </c>
    </row>
    <row r="239" spans="1:7" ht="15" customHeight="1" x14ac:dyDescent="0.2">
      <c r="A239" s="26" t="str">
        <f t="shared" si="4"/>
        <v>Knox-Knox County</v>
      </c>
      <c r="B239" s="27" t="s">
        <v>134</v>
      </c>
      <c r="C239" s="26" t="s">
        <v>401</v>
      </c>
      <c r="D239" s="31">
        <v>0.26</v>
      </c>
      <c r="E239" s="218">
        <v>0.73999999999999977</v>
      </c>
      <c r="F239" s="26" t="s">
        <v>59</v>
      </c>
      <c r="G239" s="32" t="s">
        <v>31</v>
      </c>
    </row>
    <row r="240" spans="1:7" ht="15" customHeight="1" x14ac:dyDescent="0.2">
      <c r="A240" s="26" t="str">
        <f t="shared" si="4"/>
        <v>Knox-Farragut</v>
      </c>
      <c r="B240" s="27" t="s">
        <v>134</v>
      </c>
      <c r="C240" s="26" t="s">
        <v>402</v>
      </c>
      <c r="D240" s="31">
        <v>0.3</v>
      </c>
      <c r="E240" s="218">
        <v>0.75999999999999979</v>
      </c>
      <c r="F240" s="26" t="s">
        <v>177</v>
      </c>
      <c r="G240" s="32" t="s">
        <v>31</v>
      </c>
    </row>
    <row r="241" spans="1:7" ht="15" customHeight="1" x14ac:dyDescent="0.2">
      <c r="A241" s="26" t="str">
        <f t="shared" si="4"/>
        <v>Knox-Knoxville</v>
      </c>
      <c r="B241" s="27" t="s">
        <v>134</v>
      </c>
      <c r="C241" s="26" t="s">
        <v>403</v>
      </c>
      <c r="D241" s="31">
        <v>0.2</v>
      </c>
      <c r="E241" s="218">
        <v>0.72999999999999976</v>
      </c>
      <c r="F241" s="26" t="s">
        <v>177</v>
      </c>
      <c r="G241" s="32" t="s">
        <v>31</v>
      </c>
    </row>
    <row r="242" spans="1:7" ht="15" customHeight="1" x14ac:dyDescent="0.2">
      <c r="A242" s="26" t="str">
        <f t="shared" si="4"/>
        <v>Lake-Lake County</v>
      </c>
      <c r="B242" s="27" t="s">
        <v>135</v>
      </c>
      <c r="C242" s="26" t="s">
        <v>404</v>
      </c>
      <c r="D242" s="31">
        <v>0.1</v>
      </c>
      <c r="E242" s="218">
        <v>0.94</v>
      </c>
      <c r="F242" s="26" t="s">
        <v>59</v>
      </c>
      <c r="G242" s="32" t="s">
        <v>31</v>
      </c>
    </row>
    <row r="243" spans="1:7" ht="15" customHeight="1" x14ac:dyDescent="0.2">
      <c r="A243" s="26" t="str">
        <f t="shared" si="4"/>
        <v>Lake-Ridgely</v>
      </c>
      <c r="B243" s="27" t="s">
        <v>135</v>
      </c>
      <c r="C243" s="26" t="s">
        <v>405</v>
      </c>
      <c r="D243" s="31">
        <v>0.1</v>
      </c>
      <c r="E243" s="218">
        <v>0.96</v>
      </c>
      <c r="F243" s="26" t="s">
        <v>177</v>
      </c>
      <c r="G243" s="32" t="s">
        <v>31</v>
      </c>
    </row>
    <row r="244" spans="1:7" ht="15" customHeight="1" x14ac:dyDescent="0.2">
      <c r="A244" s="26" t="str">
        <f t="shared" si="4"/>
        <v>Lake-Tiptonville</v>
      </c>
      <c r="B244" s="27" t="s">
        <v>135</v>
      </c>
      <c r="C244" s="26" t="s">
        <v>406</v>
      </c>
      <c r="D244" s="31">
        <v>0.1</v>
      </c>
      <c r="E244" s="218">
        <v>0.96</v>
      </c>
      <c r="F244" s="26" t="s">
        <v>177</v>
      </c>
      <c r="G244" s="32" t="s">
        <v>31</v>
      </c>
    </row>
    <row r="245" spans="1:7" ht="15" customHeight="1" x14ac:dyDescent="0.2">
      <c r="A245" s="26" t="str">
        <f t="shared" si="4"/>
        <v>Lauderdale-Lauderdale County</v>
      </c>
      <c r="B245" s="27" t="s">
        <v>88</v>
      </c>
      <c r="C245" s="26" t="s">
        <v>407</v>
      </c>
      <c r="D245" s="31">
        <v>0.11</v>
      </c>
      <c r="E245" s="218">
        <v>0.91999999999999993</v>
      </c>
      <c r="F245" s="26" t="s">
        <v>59</v>
      </c>
      <c r="G245" s="32" t="s">
        <v>31</v>
      </c>
    </row>
    <row r="246" spans="1:7" ht="15" customHeight="1" x14ac:dyDescent="0.2">
      <c r="A246" s="26" t="str">
        <f t="shared" si="4"/>
        <v>Lauderdale-Gates</v>
      </c>
      <c r="B246" s="27" t="s">
        <v>88</v>
      </c>
      <c r="C246" s="26" t="s">
        <v>408</v>
      </c>
      <c r="D246" s="31">
        <v>0.11</v>
      </c>
      <c r="E246" s="218">
        <v>0.96</v>
      </c>
      <c r="F246" s="26" t="s">
        <v>177</v>
      </c>
      <c r="G246" s="32" t="s">
        <v>31</v>
      </c>
    </row>
    <row r="247" spans="1:7" ht="15" customHeight="1" x14ac:dyDescent="0.2">
      <c r="A247" s="26" t="str">
        <f t="shared" si="4"/>
        <v>Lauderdale-Halls</v>
      </c>
      <c r="B247" s="27" t="s">
        <v>88</v>
      </c>
      <c r="C247" s="26" t="s">
        <v>409</v>
      </c>
      <c r="D247" s="31">
        <v>0.11</v>
      </c>
      <c r="E247" s="218">
        <v>0.89999999999999991</v>
      </c>
      <c r="F247" s="26" t="s">
        <v>177</v>
      </c>
      <c r="G247" s="32" t="s">
        <v>31</v>
      </c>
    </row>
    <row r="248" spans="1:7" ht="15" customHeight="1" x14ac:dyDescent="0.2">
      <c r="A248" s="26" t="str">
        <f t="shared" si="4"/>
        <v>Lauderdale-Henning</v>
      </c>
      <c r="B248" s="27" t="s">
        <v>88</v>
      </c>
      <c r="C248" s="26" t="s">
        <v>410</v>
      </c>
      <c r="D248" s="31">
        <v>0.1</v>
      </c>
      <c r="E248" s="218">
        <v>0.92999999999999994</v>
      </c>
      <c r="F248" s="26" t="s">
        <v>177</v>
      </c>
      <c r="G248" s="32" t="s">
        <v>31</v>
      </c>
    </row>
    <row r="249" spans="1:7" ht="15" customHeight="1" x14ac:dyDescent="0.2">
      <c r="A249" s="26" t="str">
        <f t="shared" si="4"/>
        <v>Lauderdale-Ripley</v>
      </c>
      <c r="B249" s="27" t="s">
        <v>88</v>
      </c>
      <c r="C249" s="26" t="s">
        <v>411</v>
      </c>
      <c r="D249" s="31">
        <v>0.11</v>
      </c>
      <c r="E249" s="218">
        <v>0.8899999999999999</v>
      </c>
      <c r="F249" s="26" t="s">
        <v>177</v>
      </c>
      <c r="G249" s="32" t="s">
        <v>31</v>
      </c>
    </row>
    <row r="250" spans="1:7" ht="15" customHeight="1" x14ac:dyDescent="0.2">
      <c r="A250" s="26" t="str">
        <f t="shared" si="4"/>
        <v>Lawrence-Lawrence County</v>
      </c>
      <c r="B250" s="27" t="s">
        <v>136</v>
      </c>
      <c r="C250" s="26" t="s">
        <v>412</v>
      </c>
      <c r="D250" s="31">
        <v>0.2</v>
      </c>
      <c r="E250" s="218">
        <v>0.8899999999999999</v>
      </c>
      <c r="F250" s="26" t="s">
        <v>59</v>
      </c>
      <c r="G250" s="32" t="s">
        <v>31</v>
      </c>
    </row>
    <row r="251" spans="1:7" ht="15" customHeight="1" x14ac:dyDescent="0.2">
      <c r="A251" s="26" t="str">
        <f t="shared" si="4"/>
        <v>Lawrence-Ethridge</v>
      </c>
      <c r="B251" s="27" t="s">
        <v>136</v>
      </c>
      <c r="C251" s="26" t="s">
        <v>413</v>
      </c>
      <c r="D251" s="31">
        <v>0.19</v>
      </c>
      <c r="E251" s="218">
        <v>0.81999999999999984</v>
      </c>
      <c r="F251" s="26" t="s">
        <v>177</v>
      </c>
      <c r="G251" s="32" t="s">
        <v>31</v>
      </c>
    </row>
    <row r="252" spans="1:7" ht="15" customHeight="1" x14ac:dyDescent="0.2">
      <c r="A252" s="35" t="str">
        <f t="shared" si="4"/>
        <v>Lawrence-Iron City</v>
      </c>
      <c r="B252" s="36" t="s">
        <v>136</v>
      </c>
      <c r="C252" s="35" t="s">
        <v>414</v>
      </c>
      <c r="D252" s="31" t="e">
        <v>#N/A</v>
      </c>
      <c r="E252" s="218">
        <v>0.8899999999999999</v>
      </c>
      <c r="F252" s="35" t="s">
        <v>177</v>
      </c>
      <c r="G252" s="32" t="s">
        <v>31</v>
      </c>
    </row>
    <row r="253" spans="1:7" ht="15" customHeight="1" x14ac:dyDescent="0.2">
      <c r="A253" s="26" t="str">
        <f t="shared" si="4"/>
        <v>Lawrence-Lawrenceburg</v>
      </c>
      <c r="B253" s="27" t="s">
        <v>136</v>
      </c>
      <c r="C253" s="26" t="s">
        <v>415</v>
      </c>
      <c r="D253" s="31">
        <v>0.15</v>
      </c>
      <c r="E253" s="218">
        <v>0.78999999999999981</v>
      </c>
      <c r="F253" s="26" t="s">
        <v>177</v>
      </c>
      <c r="G253" s="32" t="s">
        <v>31</v>
      </c>
    </row>
    <row r="254" spans="1:7" ht="15" customHeight="1" x14ac:dyDescent="0.2">
      <c r="A254" s="26" t="str">
        <f t="shared" si="4"/>
        <v>Lawrence-Loretto</v>
      </c>
      <c r="B254" s="27" t="s">
        <v>136</v>
      </c>
      <c r="C254" s="26" t="s">
        <v>416</v>
      </c>
      <c r="D254" s="31">
        <v>0.21</v>
      </c>
      <c r="E254" s="218">
        <v>0.87999999999999989</v>
      </c>
      <c r="F254" s="26" t="s">
        <v>177</v>
      </c>
      <c r="G254" s="32" t="s">
        <v>31</v>
      </c>
    </row>
    <row r="255" spans="1:7" ht="15" customHeight="1" x14ac:dyDescent="0.2">
      <c r="A255" s="26" t="str">
        <f t="shared" si="4"/>
        <v>Lawrence-St. Joseph</v>
      </c>
      <c r="B255" s="27" t="s">
        <v>136</v>
      </c>
      <c r="C255" s="26" t="s">
        <v>417</v>
      </c>
      <c r="D255" s="31">
        <v>0.2</v>
      </c>
      <c r="E255" s="218" t="e">
        <v>#N/A</v>
      </c>
      <c r="F255" s="26" t="s">
        <v>177</v>
      </c>
      <c r="G255" s="32" t="s">
        <v>31</v>
      </c>
    </row>
    <row r="256" spans="1:7" ht="15" customHeight="1" x14ac:dyDescent="0.2">
      <c r="A256" s="26" t="str">
        <f t="shared" si="4"/>
        <v>Lewis-Lewis County</v>
      </c>
      <c r="B256" s="27" t="s">
        <v>137</v>
      </c>
      <c r="C256" s="26" t="s">
        <v>418</v>
      </c>
      <c r="D256" s="31">
        <v>0.18</v>
      </c>
      <c r="E256" s="218">
        <v>0.8899999999999999</v>
      </c>
      <c r="F256" s="26" t="s">
        <v>59</v>
      </c>
      <c r="G256" s="32" t="s">
        <v>31</v>
      </c>
    </row>
    <row r="257" spans="1:7" ht="15" customHeight="1" x14ac:dyDescent="0.2">
      <c r="A257" s="26" t="str">
        <f t="shared" si="4"/>
        <v>Lewis-Hohenwald</v>
      </c>
      <c r="B257" s="27" t="s">
        <v>137</v>
      </c>
      <c r="C257" s="26" t="s">
        <v>419</v>
      </c>
      <c r="D257" s="31">
        <v>0.13</v>
      </c>
      <c r="E257" s="218">
        <v>0.87999999999999989</v>
      </c>
      <c r="F257" s="26" t="s">
        <v>177</v>
      </c>
      <c r="G257" s="32" t="s">
        <v>31</v>
      </c>
    </row>
    <row r="258" spans="1:7" ht="15" customHeight="1" x14ac:dyDescent="0.2">
      <c r="A258" s="26" t="str">
        <f t="shared" ref="A258:A321" si="5">B258&amp;"-"&amp;C258</f>
        <v>Lincoln-Lincoln County</v>
      </c>
      <c r="B258" s="27" t="s">
        <v>138</v>
      </c>
      <c r="C258" s="26" t="s">
        <v>420</v>
      </c>
      <c r="D258" s="31">
        <v>0.22</v>
      </c>
      <c r="E258" s="218">
        <v>0.83999999999999986</v>
      </c>
      <c r="F258" s="26" t="s">
        <v>59</v>
      </c>
      <c r="G258" s="32" t="s">
        <v>31</v>
      </c>
    </row>
    <row r="259" spans="1:7" ht="15" customHeight="1" x14ac:dyDescent="0.2">
      <c r="A259" s="26" t="str">
        <f t="shared" si="5"/>
        <v>Lincoln-Fayetteville</v>
      </c>
      <c r="B259" s="27" t="s">
        <v>138</v>
      </c>
      <c r="C259" s="26" t="s">
        <v>421</v>
      </c>
      <c r="D259" s="31">
        <v>0.14000000000000001</v>
      </c>
      <c r="E259" s="218">
        <v>0.73999999999999977</v>
      </c>
      <c r="F259" s="26" t="s">
        <v>177</v>
      </c>
      <c r="G259" s="32" t="s">
        <v>31</v>
      </c>
    </row>
    <row r="260" spans="1:7" ht="15" customHeight="1" x14ac:dyDescent="0.2">
      <c r="A260" s="26" t="str">
        <f t="shared" si="5"/>
        <v>Lincoln-Petersburg</v>
      </c>
      <c r="B260" s="27" t="s">
        <v>138</v>
      </c>
      <c r="C260" s="26" t="s">
        <v>422</v>
      </c>
      <c r="D260" s="31">
        <v>0.15</v>
      </c>
      <c r="E260" s="218">
        <v>0.96</v>
      </c>
      <c r="F260" s="26" t="s">
        <v>177</v>
      </c>
      <c r="G260" s="32" t="s">
        <v>31</v>
      </c>
    </row>
    <row r="261" spans="1:7" ht="15" customHeight="1" x14ac:dyDescent="0.2">
      <c r="A261" s="26" t="str">
        <f t="shared" si="5"/>
        <v>Loudon-Loudon County</v>
      </c>
      <c r="B261" s="27" t="s">
        <v>139</v>
      </c>
      <c r="C261" s="26" t="s">
        <v>423</v>
      </c>
      <c r="D261" s="31">
        <v>0.27</v>
      </c>
      <c r="E261" s="218">
        <v>0.66999999999999971</v>
      </c>
      <c r="F261" s="26" t="s">
        <v>59</v>
      </c>
      <c r="G261" s="32" t="s">
        <v>31</v>
      </c>
    </row>
    <row r="262" spans="1:7" ht="15" customHeight="1" x14ac:dyDescent="0.2">
      <c r="A262" s="26" t="str">
        <f t="shared" si="5"/>
        <v>Loudon-Farragut</v>
      </c>
      <c r="B262" s="27" t="s">
        <v>139</v>
      </c>
      <c r="C262" s="26" t="s">
        <v>402</v>
      </c>
      <c r="D262" s="31">
        <v>0.3</v>
      </c>
      <c r="E262" s="218">
        <v>0.75999999999999979</v>
      </c>
      <c r="F262" s="26" t="s">
        <v>177</v>
      </c>
      <c r="G262" s="32" t="s">
        <v>31</v>
      </c>
    </row>
    <row r="263" spans="1:7" ht="15" customHeight="1" x14ac:dyDescent="0.2">
      <c r="A263" s="26" t="str">
        <f t="shared" si="5"/>
        <v>Loudon-Greenback</v>
      </c>
      <c r="B263" s="27" t="s">
        <v>139</v>
      </c>
      <c r="C263" s="26" t="s">
        <v>424</v>
      </c>
      <c r="D263" s="31">
        <v>0.28000000000000003</v>
      </c>
      <c r="E263" s="218">
        <v>0.71999999999999975</v>
      </c>
      <c r="F263" s="26" t="s">
        <v>177</v>
      </c>
      <c r="G263" s="32" t="s">
        <v>31</v>
      </c>
    </row>
    <row r="264" spans="1:7" ht="15" customHeight="1" x14ac:dyDescent="0.2">
      <c r="A264" s="26" t="str">
        <f t="shared" si="5"/>
        <v>Loudon-Lenoir City</v>
      </c>
      <c r="B264" s="27" t="s">
        <v>139</v>
      </c>
      <c r="C264" s="26" t="s">
        <v>425</v>
      </c>
      <c r="D264" s="31">
        <v>0.21</v>
      </c>
      <c r="E264" s="218">
        <v>0.72999999999999976</v>
      </c>
      <c r="F264" s="26" t="s">
        <v>177</v>
      </c>
      <c r="G264" s="32" t="s">
        <v>31</v>
      </c>
    </row>
    <row r="265" spans="1:7" ht="15" customHeight="1" x14ac:dyDescent="0.2">
      <c r="A265" s="26" t="str">
        <f t="shared" si="5"/>
        <v>Loudon-Loudon</v>
      </c>
      <c r="B265" s="27" t="s">
        <v>139</v>
      </c>
      <c r="C265" s="26" t="s">
        <v>139</v>
      </c>
      <c r="D265" s="31">
        <v>0.24</v>
      </c>
      <c r="E265" s="218">
        <v>0.59999999999999964</v>
      </c>
      <c r="F265" s="26" t="s">
        <v>177</v>
      </c>
      <c r="G265" s="32" t="s">
        <v>31</v>
      </c>
    </row>
    <row r="266" spans="1:7" ht="15" customHeight="1" x14ac:dyDescent="0.2">
      <c r="A266" s="26" t="str">
        <f t="shared" si="5"/>
        <v>Loudon-Philadelphia</v>
      </c>
      <c r="B266" s="27" t="s">
        <v>139</v>
      </c>
      <c r="C266" s="26" t="s">
        <v>426</v>
      </c>
      <c r="D266" s="31">
        <v>0.21</v>
      </c>
      <c r="E266" s="218">
        <v>0.72999999999999976</v>
      </c>
      <c r="F266" s="26" t="s">
        <v>177</v>
      </c>
      <c r="G266" s="32" t="s">
        <v>31</v>
      </c>
    </row>
    <row r="267" spans="1:7" ht="15" customHeight="1" x14ac:dyDescent="0.2">
      <c r="A267" s="26" t="str">
        <f t="shared" si="5"/>
        <v>Macon-Macon County</v>
      </c>
      <c r="B267" s="27" t="s">
        <v>87</v>
      </c>
      <c r="C267" s="26" t="s">
        <v>427</v>
      </c>
      <c r="D267" s="31">
        <v>0.2</v>
      </c>
      <c r="E267" s="218">
        <v>0.87999999999999989</v>
      </c>
      <c r="F267" s="26" t="s">
        <v>59</v>
      </c>
      <c r="G267" s="32" t="s">
        <v>31</v>
      </c>
    </row>
    <row r="268" spans="1:7" ht="15" customHeight="1" x14ac:dyDescent="0.2">
      <c r="A268" s="26" t="str">
        <f t="shared" si="5"/>
        <v>Macon-Lafayette</v>
      </c>
      <c r="B268" s="27" t="s">
        <v>87</v>
      </c>
      <c r="C268" s="26" t="s">
        <v>428</v>
      </c>
      <c r="D268" s="31">
        <v>0.18</v>
      </c>
      <c r="E268" s="218">
        <v>0.78999999999999981</v>
      </c>
      <c r="F268" s="26" t="s">
        <v>177</v>
      </c>
      <c r="G268" s="32" t="s">
        <v>31</v>
      </c>
    </row>
    <row r="269" spans="1:7" ht="15" customHeight="1" x14ac:dyDescent="0.2">
      <c r="A269" s="26" t="str">
        <f t="shared" si="5"/>
        <v>Macon-Red Boiling Springs</v>
      </c>
      <c r="B269" s="27" t="s">
        <v>87</v>
      </c>
      <c r="C269" s="26" t="s">
        <v>429</v>
      </c>
      <c r="D269" s="31">
        <v>0.1</v>
      </c>
      <c r="E269" s="218">
        <v>0.90999999999999992</v>
      </c>
      <c r="F269" s="26" t="s">
        <v>177</v>
      </c>
      <c r="G269" s="32" t="s">
        <v>31</v>
      </c>
    </row>
    <row r="270" spans="1:7" ht="15" customHeight="1" x14ac:dyDescent="0.2">
      <c r="A270" s="26" t="str">
        <f t="shared" si="5"/>
        <v>Madison-Madison County</v>
      </c>
      <c r="B270" s="27" t="s">
        <v>140</v>
      </c>
      <c r="C270" s="26" t="s">
        <v>430</v>
      </c>
      <c r="D270" s="31">
        <v>0.2</v>
      </c>
      <c r="E270" s="218">
        <v>0.7799999999999998</v>
      </c>
      <c r="F270" s="26" t="s">
        <v>59</v>
      </c>
      <c r="G270" s="32" t="s">
        <v>31</v>
      </c>
    </row>
    <row r="271" spans="1:7" ht="15" customHeight="1" x14ac:dyDescent="0.2">
      <c r="A271" s="26" t="str">
        <f t="shared" si="5"/>
        <v>Madison-Jackson</v>
      </c>
      <c r="B271" s="27" t="s">
        <v>140</v>
      </c>
      <c r="C271" s="26" t="s">
        <v>132</v>
      </c>
      <c r="D271" s="31">
        <v>0.16</v>
      </c>
      <c r="E271" s="218">
        <v>0.7699999999999998</v>
      </c>
      <c r="F271" s="26" t="s">
        <v>177</v>
      </c>
      <c r="G271" s="32" t="s">
        <v>31</v>
      </c>
    </row>
    <row r="272" spans="1:7" ht="15" customHeight="1" x14ac:dyDescent="0.2">
      <c r="A272" s="26" t="str">
        <f t="shared" si="5"/>
        <v>Madison-Medon</v>
      </c>
      <c r="B272" s="27" t="s">
        <v>140</v>
      </c>
      <c r="C272" s="26" t="s">
        <v>431</v>
      </c>
      <c r="D272" s="31">
        <v>0.24</v>
      </c>
      <c r="E272" s="218">
        <v>0.86999999999999988</v>
      </c>
      <c r="F272" s="26" t="s">
        <v>177</v>
      </c>
      <c r="G272" s="32" t="s">
        <v>31</v>
      </c>
    </row>
    <row r="273" spans="1:7" ht="15" customHeight="1" x14ac:dyDescent="0.2">
      <c r="A273" s="26" t="str">
        <f t="shared" si="5"/>
        <v>Madison-Three Way</v>
      </c>
      <c r="B273" s="27" t="s">
        <v>140</v>
      </c>
      <c r="C273" s="26" t="s">
        <v>432</v>
      </c>
      <c r="D273" s="31">
        <v>0.28000000000000003</v>
      </c>
      <c r="E273" s="218">
        <v>0.78999999999999981</v>
      </c>
      <c r="F273" s="26" t="s">
        <v>177</v>
      </c>
      <c r="G273" s="32" t="s">
        <v>31</v>
      </c>
    </row>
    <row r="274" spans="1:7" ht="15" customHeight="1" x14ac:dyDescent="0.2">
      <c r="A274" s="26" t="str">
        <f t="shared" si="5"/>
        <v>Marion-Marion County</v>
      </c>
      <c r="B274" s="27" t="s">
        <v>141</v>
      </c>
      <c r="C274" s="26" t="s">
        <v>433</v>
      </c>
      <c r="D274" s="31">
        <v>0.21</v>
      </c>
      <c r="E274" s="218">
        <v>0.78999999999999981</v>
      </c>
      <c r="F274" s="26" t="s">
        <v>59</v>
      </c>
      <c r="G274" s="32" t="s">
        <v>31</v>
      </c>
    </row>
    <row r="275" spans="1:7" ht="15" customHeight="1" x14ac:dyDescent="0.2">
      <c r="A275" s="26" t="str">
        <f t="shared" si="5"/>
        <v>Marion-Jasper</v>
      </c>
      <c r="B275" s="27" t="s">
        <v>141</v>
      </c>
      <c r="C275" s="26" t="s">
        <v>434</v>
      </c>
      <c r="D275" s="31">
        <v>0.22</v>
      </c>
      <c r="E275" s="218">
        <v>0.69999999999999973</v>
      </c>
      <c r="F275" s="26" t="s">
        <v>177</v>
      </c>
      <c r="G275" s="32" t="s">
        <v>31</v>
      </c>
    </row>
    <row r="276" spans="1:7" ht="15" customHeight="1" x14ac:dyDescent="0.2">
      <c r="A276" s="26" t="str">
        <f t="shared" si="5"/>
        <v>Marion-Kimball</v>
      </c>
      <c r="B276" s="27" t="s">
        <v>141</v>
      </c>
      <c r="C276" s="26" t="s">
        <v>435</v>
      </c>
      <c r="D276" s="31">
        <v>0.24</v>
      </c>
      <c r="E276" s="218">
        <v>0.59999999999999964</v>
      </c>
      <c r="F276" s="26" t="s">
        <v>177</v>
      </c>
      <c r="G276" s="32" t="s">
        <v>31</v>
      </c>
    </row>
    <row r="277" spans="1:7" ht="15" customHeight="1" x14ac:dyDescent="0.2">
      <c r="A277" s="26" t="str">
        <f t="shared" si="5"/>
        <v>Marion-Monteagle</v>
      </c>
      <c r="B277" s="27" t="s">
        <v>141</v>
      </c>
      <c r="C277" s="26" t="s">
        <v>333</v>
      </c>
      <c r="D277" s="31">
        <v>0.17</v>
      </c>
      <c r="E277" s="218">
        <v>0.79999999999999982</v>
      </c>
      <c r="F277" s="26" t="s">
        <v>177</v>
      </c>
      <c r="G277" s="32" t="s">
        <v>31</v>
      </c>
    </row>
    <row r="278" spans="1:7" ht="15" customHeight="1" x14ac:dyDescent="0.2">
      <c r="A278" s="26" t="str">
        <f t="shared" si="5"/>
        <v>Marion-New Hope</v>
      </c>
      <c r="B278" s="27" t="s">
        <v>141</v>
      </c>
      <c r="C278" s="26" t="s">
        <v>436</v>
      </c>
      <c r="D278" s="31">
        <v>0.2</v>
      </c>
      <c r="E278" s="218">
        <v>0.90999999999999992</v>
      </c>
      <c r="F278" s="26" t="s">
        <v>177</v>
      </c>
      <c r="G278" s="32" t="s">
        <v>31</v>
      </c>
    </row>
    <row r="279" spans="1:7" ht="15" customHeight="1" x14ac:dyDescent="0.2">
      <c r="A279" s="26" t="str">
        <f t="shared" si="5"/>
        <v>Marion-Orme</v>
      </c>
      <c r="B279" s="27" t="s">
        <v>141</v>
      </c>
      <c r="C279" s="26" t="s">
        <v>437</v>
      </c>
      <c r="D279" s="31">
        <v>0.24</v>
      </c>
      <c r="E279" s="218">
        <v>0.96</v>
      </c>
      <c r="F279" s="26" t="s">
        <v>177</v>
      </c>
      <c r="G279" s="32" t="s">
        <v>31</v>
      </c>
    </row>
    <row r="280" spans="1:7" ht="15" customHeight="1" x14ac:dyDescent="0.2">
      <c r="A280" s="26" t="str">
        <f t="shared" si="5"/>
        <v>Marion-Powells Crossroads</v>
      </c>
      <c r="B280" s="27" t="s">
        <v>141</v>
      </c>
      <c r="C280" s="26" t="s">
        <v>438</v>
      </c>
      <c r="D280" s="31">
        <v>0.27</v>
      </c>
      <c r="E280" s="218">
        <v>0.82999999999999985</v>
      </c>
      <c r="F280" s="26" t="s">
        <v>177</v>
      </c>
      <c r="G280" s="32" t="s">
        <v>31</v>
      </c>
    </row>
    <row r="281" spans="1:7" ht="15" customHeight="1" x14ac:dyDescent="0.2">
      <c r="A281" s="26" t="str">
        <f t="shared" si="5"/>
        <v>Marion-South Pittsburg</v>
      </c>
      <c r="B281" s="27" t="s">
        <v>141</v>
      </c>
      <c r="C281" s="26" t="s">
        <v>439</v>
      </c>
      <c r="D281" s="31">
        <v>0.14000000000000001</v>
      </c>
      <c r="E281" s="218">
        <v>0.83999999999999986</v>
      </c>
      <c r="F281" s="26" t="s">
        <v>177</v>
      </c>
      <c r="G281" s="32" t="s">
        <v>31</v>
      </c>
    </row>
    <row r="282" spans="1:7" ht="15" customHeight="1" x14ac:dyDescent="0.2">
      <c r="A282" s="26" t="str">
        <f t="shared" si="5"/>
        <v>Marion-Whitwell</v>
      </c>
      <c r="B282" s="27" t="s">
        <v>141</v>
      </c>
      <c r="C282" s="26" t="s">
        <v>440</v>
      </c>
      <c r="D282" s="31">
        <v>0.18</v>
      </c>
      <c r="E282" s="218">
        <v>0.89999999999999991</v>
      </c>
      <c r="F282" s="26" t="s">
        <v>177</v>
      </c>
      <c r="G282" s="32" t="s">
        <v>31</v>
      </c>
    </row>
    <row r="283" spans="1:7" ht="15" customHeight="1" x14ac:dyDescent="0.2">
      <c r="A283" s="26" t="str">
        <f t="shared" si="5"/>
        <v>Marshall-Marshall County</v>
      </c>
      <c r="B283" s="27" t="s">
        <v>79</v>
      </c>
      <c r="C283" s="26" t="s">
        <v>441</v>
      </c>
      <c r="D283" s="31">
        <v>0.25</v>
      </c>
      <c r="E283" s="218">
        <v>0.84999999999999987</v>
      </c>
      <c r="F283" s="26" t="s">
        <v>59</v>
      </c>
      <c r="G283" s="32" t="s">
        <v>31</v>
      </c>
    </row>
    <row r="284" spans="1:7" ht="15" customHeight="1" x14ac:dyDescent="0.2">
      <c r="A284" s="26" t="str">
        <f t="shared" si="5"/>
        <v>Marshall-Chapel Hill</v>
      </c>
      <c r="B284" s="27" t="s">
        <v>79</v>
      </c>
      <c r="C284" s="26" t="s">
        <v>442</v>
      </c>
      <c r="D284" s="31">
        <v>0.28000000000000003</v>
      </c>
      <c r="E284" s="218">
        <v>0.7799999999999998</v>
      </c>
      <c r="F284" s="26" t="s">
        <v>177</v>
      </c>
      <c r="G284" s="32" t="s">
        <v>31</v>
      </c>
    </row>
    <row r="285" spans="1:7" ht="15" customHeight="1" x14ac:dyDescent="0.2">
      <c r="A285" s="26" t="str">
        <f t="shared" si="5"/>
        <v>Marshall-Cornersville</v>
      </c>
      <c r="B285" s="27" t="s">
        <v>79</v>
      </c>
      <c r="C285" s="26" t="s">
        <v>443</v>
      </c>
      <c r="D285" s="31">
        <v>0.26</v>
      </c>
      <c r="E285" s="218">
        <v>0.92999999999999994</v>
      </c>
      <c r="F285" s="26" t="s">
        <v>177</v>
      </c>
      <c r="G285" s="32" t="s">
        <v>31</v>
      </c>
    </row>
    <row r="286" spans="1:7" ht="15" customHeight="1" x14ac:dyDescent="0.2">
      <c r="A286" s="26" t="str">
        <f t="shared" si="5"/>
        <v>Marshall-Lewisburg</v>
      </c>
      <c r="B286" s="27" t="s">
        <v>79</v>
      </c>
      <c r="C286" s="26" t="s">
        <v>444</v>
      </c>
      <c r="D286" s="31">
        <v>0.22</v>
      </c>
      <c r="E286" s="218">
        <v>0.80999999999999983</v>
      </c>
      <c r="F286" s="26" t="s">
        <v>177</v>
      </c>
      <c r="G286" s="32" t="s">
        <v>31</v>
      </c>
    </row>
    <row r="287" spans="1:7" ht="15" customHeight="1" x14ac:dyDescent="0.2">
      <c r="A287" s="26" t="str">
        <f t="shared" si="5"/>
        <v>Marshall-Petersburg</v>
      </c>
      <c r="B287" s="27" t="s">
        <v>79</v>
      </c>
      <c r="C287" s="26" t="s">
        <v>422</v>
      </c>
      <c r="D287" s="31">
        <v>0.15</v>
      </c>
      <c r="E287" s="218">
        <v>0.96</v>
      </c>
      <c r="F287" s="26" t="s">
        <v>177</v>
      </c>
      <c r="G287" s="32" t="s">
        <v>31</v>
      </c>
    </row>
    <row r="288" spans="1:7" ht="15" customHeight="1" x14ac:dyDescent="0.2">
      <c r="A288" s="26" t="str">
        <f t="shared" si="5"/>
        <v>Maury-Maury County</v>
      </c>
      <c r="B288" s="27" t="s">
        <v>67</v>
      </c>
      <c r="C288" s="26" t="s">
        <v>445</v>
      </c>
      <c r="D288" s="31">
        <v>0.27</v>
      </c>
      <c r="E288" s="218">
        <v>0.78999999999999981</v>
      </c>
      <c r="F288" s="26" t="s">
        <v>59</v>
      </c>
      <c r="G288" s="32" t="s">
        <v>31</v>
      </c>
    </row>
    <row r="289" spans="1:7" ht="15" customHeight="1" x14ac:dyDescent="0.2">
      <c r="A289" s="26" t="str">
        <f t="shared" si="5"/>
        <v>Maury-Columbia</v>
      </c>
      <c r="B289" s="27" t="s">
        <v>67</v>
      </c>
      <c r="C289" s="26" t="s">
        <v>446</v>
      </c>
      <c r="D289" s="31">
        <v>0.21</v>
      </c>
      <c r="E289" s="218">
        <v>0.78999999999999981</v>
      </c>
      <c r="F289" s="26" t="s">
        <v>177</v>
      </c>
      <c r="G289" s="32" t="s">
        <v>31</v>
      </c>
    </row>
    <row r="290" spans="1:7" ht="15" customHeight="1" x14ac:dyDescent="0.2">
      <c r="A290" s="26" t="str">
        <f t="shared" si="5"/>
        <v>Maury-Mount Pleasant</v>
      </c>
      <c r="B290" s="27" t="s">
        <v>67</v>
      </c>
      <c r="C290" s="26" t="s">
        <v>447</v>
      </c>
      <c r="D290" s="31">
        <v>0.2</v>
      </c>
      <c r="E290" s="218">
        <v>0.87999999999999989</v>
      </c>
      <c r="F290" s="26" t="s">
        <v>177</v>
      </c>
      <c r="G290" s="32" t="s">
        <v>31</v>
      </c>
    </row>
    <row r="291" spans="1:7" ht="15" customHeight="1" x14ac:dyDescent="0.2">
      <c r="A291" s="26" t="str">
        <f t="shared" si="5"/>
        <v>Maury-Spring Hill</v>
      </c>
      <c r="B291" s="27" t="s">
        <v>67</v>
      </c>
      <c r="C291" s="26" t="s">
        <v>448</v>
      </c>
      <c r="D291" s="31">
        <v>0.3</v>
      </c>
      <c r="E291" s="218">
        <v>0.80999999999999983</v>
      </c>
      <c r="F291" s="26" t="s">
        <v>177</v>
      </c>
      <c r="G291" s="32" t="s">
        <v>31</v>
      </c>
    </row>
    <row r="292" spans="1:7" ht="15" customHeight="1" x14ac:dyDescent="0.2">
      <c r="A292" s="26" t="str">
        <f t="shared" si="5"/>
        <v>McMinn-McMinn County</v>
      </c>
      <c r="B292" s="27" t="s">
        <v>72</v>
      </c>
      <c r="C292" s="26" t="s">
        <v>449</v>
      </c>
      <c r="D292" s="31">
        <v>0.19</v>
      </c>
      <c r="E292" s="218">
        <v>0.80999999999999983</v>
      </c>
      <c r="F292" s="26" t="s">
        <v>59</v>
      </c>
      <c r="G292" s="32" t="s">
        <v>31</v>
      </c>
    </row>
    <row r="293" spans="1:7" ht="15" customHeight="1" x14ac:dyDescent="0.2">
      <c r="A293" s="26" t="str">
        <f t="shared" si="5"/>
        <v>McMinn-Athens</v>
      </c>
      <c r="B293" s="27" t="s">
        <v>72</v>
      </c>
      <c r="C293" s="26" t="s">
        <v>450</v>
      </c>
      <c r="D293" s="31">
        <v>0.15</v>
      </c>
      <c r="E293" s="218">
        <v>0.68999999999999972</v>
      </c>
      <c r="F293" s="26" t="s">
        <v>177</v>
      </c>
      <c r="G293" s="32" t="s">
        <v>31</v>
      </c>
    </row>
    <row r="294" spans="1:7" ht="15" customHeight="1" x14ac:dyDescent="0.2">
      <c r="A294" s="26" t="str">
        <f t="shared" si="5"/>
        <v>McMinn-Calhoun</v>
      </c>
      <c r="B294" s="27" t="s">
        <v>72</v>
      </c>
      <c r="C294" s="26" t="s">
        <v>451</v>
      </c>
      <c r="D294" s="31">
        <v>0.2</v>
      </c>
      <c r="E294" s="218">
        <v>0.86999999999999988</v>
      </c>
      <c r="F294" s="26" t="s">
        <v>177</v>
      </c>
      <c r="G294" s="32" t="s">
        <v>31</v>
      </c>
    </row>
    <row r="295" spans="1:7" ht="15" customHeight="1" x14ac:dyDescent="0.2">
      <c r="A295" s="26" t="str">
        <f t="shared" si="5"/>
        <v>McMinn-Englewood</v>
      </c>
      <c r="B295" s="27" t="s">
        <v>72</v>
      </c>
      <c r="C295" s="26" t="s">
        <v>452</v>
      </c>
      <c r="D295" s="31">
        <v>0.16</v>
      </c>
      <c r="E295" s="218">
        <v>0.95</v>
      </c>
      <c r="F295" s="26" t="s">
        <v>177</v>
      </c>
      <c r="G295" s="32" t="s">
        <v>31</v>
      </c>
    </row>
    <row r="296" spans="1:7" ht="15" customHeight="1" x14ac:dyDescent="0.2">
      <c r="A296" s="26" t="str">
        <f t="shared" si="5"/>
        <v>McMinn-Etowah</v>
      </c>
      <c r="B296" s="27" t="s">
        <v>72</v>
      </c>
      <c r="C296" s="26" t="s">
        <v>453</v>
      </c>
      <c r="D296" s="31">
        <v>0.19</v>
      </c>
      <c r="E296" s="218">
        <v>0.79999999999999982</v>
      </c>
      <c r="F296" s="26" t="s">
        <v>177</v>
      </c>
      <c r="G296" s="32" t="s">
        <v>31</v>
      </c>
    </row>
    <row r="297" spans="1:7" ht="15" customHeight="1" x14ac:dyDescent="0.2">
      <c r="A297" s="26" t="str">
        <f t="shared" si="5"/>
        <v>McMinn-Niota</v>
      </c>
      <c r="B297" s="27" t="s">
        <v>72</v>
      </c>
      <c r="C297" s="26" t="s">
        <v>454</v>
      </c>
      <c r="D297" s="31">
        <v>0.19</v>
      </c>
      <c r="E297" s="218">
        <v>0.80999999999999983</v>
      </c>
      <c r="F297" s="26" t="s">
        <v>177</v>
      </c>
      <c r="G297" s="32" t="s">
        <v>31</v>
      </c>
    </row>
    <row r="298" spans="1:7" ht="15" customHeight="1" x14ac:dyDescent="0.2">
      <c r="A298" s="26" t="str">
        <f t="shared" si="5"/>
        <v>McNairy-McNairy County</v>
      </c>
      <c r="B298" s="27" t="s">
        <v>90</v>
      </c>
      <c r="C298" s="26" t="s">
        <v>455</v>
      </c>
      <c r="D298" s="31">
        <v>0.14000000000000001</v>
      </c>
      <c r="E298" s="218">
        <v>0.87999999999999989</v>
      </c>
      <c r="F298" s="26" t="s">
        <v>59</v>
      </c>
      <c r="G298" s="32" t="s">
        <v>31</v>
      </c>
    </row>
    <row r="299" spans="1:7" ht="15" customHeight="1" x14ac:dyDescent="0.2">
      <c r="A299" s="26" t="str">
        <f t="shared" si="5"/>
        <v>McNairy-Adamsville</v>
      </c>
      <c r="B299" s="27" t="s">
        <v>90</v>
      </c>
      <c r="C299" s="26" t="s">
        <v>360</v>
      </c>
      <c r="D299" s="31">
        <v>0.12</v>
      </c>
      <c r="E299" s="218">
        <v>0.82999999999999985</v>
      </c>
      <c r="F299" s="26" t="s">
        <v>177</v>
      </c>
      <c r="G299" s="32" t="s">
        <v>31</v>
      </c>
    </row>
    <row r="300" spans="1:7" ht="15" customHeight="1" x14ac:dyDescent="0.2">
      <c r="A300" s="26" t="str">
        <f t="shared" si="5"/>
        <v>McNairy-Bethel Springs</v>
      </c>
      <c r="B300" s="27" t="s">
        <v>90</v>
      </c>
      <c r="C300" s="26" t="s">
        <v>456</v>
      </c>
      <c r="D300" s="31">
        <v>0.11</v>
      </c>
      <c r="E300" s="218">
        <v>0.96</v>
      </c>
      <c r="F300" s="26" t="s">
        <v>177</v>
      </c>
      <c r="G300" s="32" t="s">
        <v>31</v>
      </c>
    </row>
    <row r="301" spans="1:7" ht="15" customHeight="1" x14ac:dyDescent="0.2">
      <c r="A301" s="26" t="str">
        <f t="shared" si="5"/>
        <v>McNairy-Eastview</v>
      </c>
      <c r="B301" s="27" t="s">
        <v>90</v>
      </c>
      <c r="C301" s="26" t="s">
        <v>457</v>
      </c>
      <c r="D301" s="31">
        <v>0.19</v>
      </c>
      <c r="E301" s="218">
        <v>0.91999999999999993</v>
      </c>
      <c r="F301" s="26" t="s">
        <v>177</v>
      </c>
      <c r="G301" s="32" t="s">
        <v>31</v>
      </c>
    </row>
    <row r="302" spans="1:7" ht="15" customHeight="1" x14ac:dyDescent="0.2">
      <c r="A302" s="26" t="str">
        <f t="shared" si="5"/>
        <v>McNairy-Enville</v>
      </c>
      <c r="B302" s="27" t="s">
        <v>90</v>
      </c>
      <c r="C302" s="26" t="s">
        <v>229</v>
      </c>
      <c r="D302" s="31">
        <v>0.27</v>
      </c>
      <c r="E302" s="218">
        <v>0.90999999999999992</v>
      </c>
      <c r="F302" s="26" t="s">
        <v>177</v>
      </c>
      <c r="G302" s="32" t="s">
        <v>31</v>
      </c>
    </row>
    <row r="303" spans="1:7" ht="15" customHeight="1" x14ac:dyDescent="0.2">
      <c r="A303" s="26" t="str">
        <f t="shared" si="5"/>
        <v>McNairy-Finger</v>
      </c>
      <c r="B303" s="27" t="s">
        <v>90</v>
      </c>
      <c r="C303" s="26" t="s">
        <v>458</v>
      </c>
      <c r="D303" s="31">
        <v>0.19</v>
      </c>
      <c r="E303" s="218">
        <v>0.89999999999999991</v>
      </c>
      <c r="F303" s="26" t="s">
        <v>177</v>
      </c>
      <c r="G303" s="32" t="s">
        <v>31</v>
      </c>
    </row>
    <row r="304" spans="1:7" ht="15" customHeight="1" x14ac:dyDescent="0.2">
      <c r="A304" s="26" t="str">
        <f t="shared" si="5"/>
        <v>McNairy-Guys</v>
      </c>
      <c r="B304" s="27" t="s">
        <v>90</v>
      </c>
      <c r="C304" s="26" t="s">
        <v>459</v>
      </c>
      <c r="D304" s="31">
        <v>0.14000000000000001</v>
      </c>
      <c r="E304" s="218">
        <v>0.89999999999999991</v>
      </c>
      <c r="F304" s="26" t="s">
        <v>177</v>
      </c>
      <c r="G304" s="32" t="s">
        <v>31</v>
      </c>
    </row>
    <row r="305" spans="1:7" ht="15" customHeight="1" x14ac:dyDescent="0.2">
      <c r="A305" s="26" t="str">
        <f t="shared" si="5"/>
        <v>McNairy-Michie</v>
      </c>
      <c r="B305" s="27" t="s">
        <v>90</v>
      </c>
      <c r="C305" s="26" t="s">
        <v>460</v>
      </c>
      <c r="D305" s="31">
        <v>0.19</v>
      </c>
      <c r="E305" s="218">
        <v>0.86999999999999988</v>
      </c>
      <c r="F305" s="26" t="s">
        <v>177</v>
      </c>
      <c r="G305" s="32" t="s">
        <v>31</v>
      </c>
    </row>
    <row r="306" spans="1:7" ht="15" customHeight="1" x14ac:dyDescent="0.2">
      <c r="A306" s="26" t="str">
        <f t="shared" si="5"/>
        <v>McNairy-Milledgeville</v>
      </c>
      <c r="B306" s="33" t="s">
        <v>90</v>
      </c>
      <c r="C306" s="34" t="s">
        <v>230</v>
      </c>
      <c r="D306" s="31">
        <v>0.19</v>
      </c>
      <c r="E306" s="218">
        <v>0.85999999999999988</v>
      </c>
      <c r="F306" s="26" t="s">
        <v>177</v>
      </c>
      <c r="G306" s="32" t="s">
        <v>31</v>
      </c>
    </row>
    <row r="307" spans="1:7" ht="15" customHeight="1" x14ac:dyDescent="0.2">
      <c r="A307" s="26" t="str">
        <f t="shared" si="5"/>
        <v>McNairy-Ramer</v>
      </c>
      <c r="B307" s="27" t="s">
        <v>90</v>
      </c>
      <c r="C307" s="26" t="s">
        <v>461</v>
      </c>
      <c r="D307" s="31">
        <v>0.15</v>
      </c>
      <c r="E307" s="218">
        <v>0.8899999999999999</v>
      </c>
      <c r="F307" s="26" t="s">
        <v>177</v>
      </c>
      <c r="G307" s="32" t="s">
        <v>31</v>
      </c>
    </row>
    <row r="308" spans="1:7" ht="15" customHeight="1" x14ac:dyDescent="0.2">
      <c r="A308" s="26" t="str">
        <f t="shared" si="5"/>
        <v>McNairy-Selmer</v>
      </c>
      <c r="B308" s="27" t="s">
        <v>90</v>
      </c>
      <c r="C308" s="26" t="s">
        <v>462</v>
      </c>
      <c r="D308" s="31">
        <v>0.12</v>
      </c>
      <c r="E308" s="218">
        <v>0.73999999999999977</v>
      </c>
      <c r="F308" s="26" t="s">
        <v>177</v>
      </c>
      <c r="G308" s="32" t="s">
        <v>31</v>
      </c>
    </row>
    <row r="309" spans="1:7" ht="15" customHeight="1" x14ac:dyDescent="0.2">
      <c r="A309" s="26" t="str">
        <f t="shared" si="5"/>
        <v>McNairy-Stantonville</v>
      </c>
      <c r="B309" s="27" t="s">
        <v>90</v>
      </c>
      <c r="C309" s="26" t="s">
        <v>463</v>
      </c>
      <c r="D309" s="31">
        <v>0.11</v>
      </c>
      <c r="E309" s="218">
        <v>0.90999999999999992</v>
      </c>
      <c r="F309" s="26" t="s">
        <v>177</v>
      </c>
      <c r="G309" s="32" t="s">
        <v>31</v>
      </c>
    </row>
    <row r="310" spans="1:7" ht="15" customHeight="1" x14ac:dyDescent="0.2">
      <c r="A310" s="26" t="str">
        <f t="shared" si="5"/>
        <v>Meigs-Meigs County</v>
      </c>
      <c r="B310" s="27" t="s">
        <v>142</v>
      </c>
      <c r="C310" s="26" t="s">
        <v>464</v>
      </c>
      <c r="D310" s="31">
        <v>0.19</v>
      </c>
      <c r="E310" s="218">
        <v>0.85999999999999988</v>
      </c>
      <c r="F310" s="26" t="s">
        <v>59</v>
      </c>
      <c r="G310" s="32" t="s">
        <v>31</v>
      </c>
    </row>
    <row r="311" spans="1:7" ht="15" customHeight="1" x14ac:dyDescent="0.2">
      <c r="A311" s="26" t="str">
        <f t="shared" si="5"/>
        <v>Meigs-Decatur</v>
      </c>
      <c r="B311" s="27" t="s">
        <v>142</v>
      </c>
      <c r="C311" s="26" t="s">
        <v>118</v>
      </c>
      <c r="D311" s="31">
        <v>0.14000000000000001</v>
      </c>
      <c r="E311" s="218">
        <v>0.81999999999999984</v>
      </c>
      <c r="F311" s="26" t="s">
        <v>177</v>
      </c>
      <c r="G311" s="32" t="s">
        <v>31</v>
      </c>
    </row>
    <row r="312" spans="1:7" ht="15" customHeight="1" x14ac:dyDescent="0.2">
      <c r="A312" s="26" t="str">
        <f t="shared" si="5"/>
        <v>Monroe-Monroe County</v>
      </c>
      <c r="B312" s="27" t="s">
        <v>93</v>
      </c>
      <c r="C312" s="26" t="s">
        <v>465</v>
      </c>
      <c r="D312" s="31">
        <v>0.2</v>
      </c>
      <c r="E312" s="218">
        <v>0.80999999999999983</v>
      </c>
      <c r="F312" s="26" t="s">
        <v>59</v>
      </c>
      <c r="G312" s="32" t="s">
        <v>31</v>
      </c>
    </row>
    <row r="313" spans="1:7" ht="15" customHeight="1" x14ac:dyDescent="0.2">
      <c r="A313" s="26" t="str">
        <f t="shared" si="5"/>
        <v>Monroe-Madisonville</v>
      </c>
      <c r="B313" s="27" t="s">
        <v>93</v>
      </c>
      <c r="C313" s="26" t="s">
        <v>466</v>
      </c>
      <c r="D313" s="31">
        <v>0.22</v>
      </c>
      <c r="E313" s="218">
        <v>0.75999999999999979</v>
      </c>
      <c r="F313" s="26" t="s">
        <v>177</v>
      </c>
      <c r="G313" s="32" t="s">
        <v>31</v>
      </c>
    </row>
    <row r="314" spans="1:7" ht="15" customHeight="1" x14ac:dyDescent="0.2">
      <c r="A314" s="26" t="str">
        <f t="shared" si="5"/>
        <v>Monroe-Sweetwater</v>
      </c>
      <c r="B314" s="27" t="s">
        <v>93</v>
      </c>
      <c r="C314" s="26" t="s">
        <v>467</v>
      </c>
      <c r="D314" s="31">
        <v>0.2</v>
      </c>
      <c r="E314" s="218">
        <v>0.7699999999999998</v>
      </c>
      <c r="F314" s="26" t="s">
        <v>177</v>
      </c>
      <c r="G314" s="32" t="s">
        <v>31</v>
      </c>
    </row>
    <row r="315" spans="1:7" ht="15" customHeight="1" x14ac:dyDescent="0.2">
      <c r="A315" s="26" t="str">
        <f t="shared" si="5"/>
        <v>Monroe-Tellico Plains</v>
      </c>
      <c r="B315" s="27" t="s">
        <v>93</v>
      </c>
      <c r="C315" s="26" t="s">
        <v>468</v>
      </c>
      <c r="D315" s="31">
        <v>0.13</v>
      </c>
      <c r="E315" s="218">
        <v>0.75999999999999979</v>
      </c>
      <c r="F315" s="26" t="s">
        <v>177</v>
      </c>
      <c r="G315" s="32" t="s">
        <v>31</v>
      </c>
    </row>
    <row r="316" spans="1:7" ht="15" customHeight="1" x14ac:dyDescent="0.2">
      <c r="A316" s="26" t="str">
        <f t="shared" si="5"/>
        <v>Monroe-Vonore</v>
      </c>
      <c r="B316" s="27" t="s">
        <v>93</v>
      </c>
      <c r="C316" s="26" t="s">
        <v>469</v>
      </c>
      <c r="D316" s="31">
        <v>0.25</v>
      </c>
      <c r="E316" s="218">
        <v>0.59999999999999964</v>
      </c>
      <c r="F316" s="26" t="s">
        <v>177</v>
      </c>
      <c r="G316" s="32" t="s">
        <v>31</v>
      </c>
    </row>
    <row r="317" spans="1:7" ht="15" customHeight="1" x14ac:dyDescent="0.2">
      <c r="A317" s="26" t="str">
        <f t="shared" si="5"/>
        <v>Montgomery-Montgomery County</v>
      </c>
      <c r="B317" s="27" t="s">
        <v>143</v>
      </c>
      <c r="C317" s="26" t="s">
        <v>470</v>
      </c>
      <c r="D317" s="31">
        <v>0.24</v>
      </c>
      <c r="E317" s="218">
        <v>0.80999999999999983</v>
      </c>
      <c r="F317" s="26" t="s">
        <v>59</v>
      </c>
      <c r="G317" s="32" t="s">
        <v>31</v>
      </c>
    </row>
    <row r="318" spans="1:7" ht="15" customHeight="1" x14ac:dyDescent="0.2">
      <c r="A318" s="26" t="str">
        <f t="shared" si="5"/>
        <v>Montgomery-Clarksville</v>
      </c>
      <c r="B318" s="27" t="s">
        <v>143</v>
      </c>
      <c r="C318" s="26" t="s">
        <v>471</v>
      </c>
      <c r="D318" s="31">
        <v>0.24</v>
      </c>
      <c r="E318" s="218">
        <v>0.83999999999999986</v>
      </c>
      <c r="F318" s="26" t="s">
        <v>177</v>
      </c>
      <c r="G318" s="32" t="s">
        <v>31</v>
      </c>
    </row>
    <row r="319" spans="1:7" ht="15" customHeight="1" x14ac:dyDescent="0.2">
      <c r="A319" s="26" t="str">
        <f t="shared" si="5"/>
        <v>Moore-Moore County</v>
      </c>
      <c r="B319" s="27" t="s">
        <v>144</v>
      </c>
      <c r="C319" s="26" t="s">
        <v>472</v>
      </c>
      <c r="D319" s="31">
        <v>0.28000000000000003</v>
      </c>
      <c r="E319" s="218">
        <v>0.70999999999999974</v>
      </c>
      <c r="F319" s="26" t="s">
        <v>59</v>
      </c>
      <c r="G319" s="32" t="s">
        <v>31</v>
      </c>
    </row>
    <row r="320" spans="1:7" ht="15" customHeight="1" x14ac:dyDescent="0.2">
      <c r="A320" s="26" t="str">
        <f t="shared" si="5"/>
        <v>Moore-Lynchburg</v>
      </c>
      <c r="B320" s="27" t="s">
        <v>144</v>
      </c>
      <c r="C320" s="26" t="s">
        <v>167</v>
      </c>
      <c r="D320" s="31">
        <v>0.28000000000000003</v>
      </c>
      <c r="E320" s="218">
        <v>0.96</v>
      </c>
      <c r="F320" s="26" t="s">
        <v>177</v>
      </c>
      <c r="G320" s="32" t="s">
        <v>31</v>
      </c>
    </row>
    <row r="321" spans="1:7" ht="15" customHeight="1" x14ac:dyDescent="0.2">
      <c r="A321" s="26" t="str">
        <f t="shared" si="5"/>
        <v>Morgan-Morgan County</v>
      </c>
      <c r="B321" s="27" t="s">
        <v>145</v>
      </c>
      <c r="C321" s="26" t="s">
        <v>473</v>
      </c>
      <c r="D321" s="31">
        <v>0.14000000000000001</v>
      </c>
      <c r="E321" s="218">
        <v>0.91999999999999993</v>
      </c>
      <c r="F321" s="26" t="s">
        <v>59</v>
      </c>
      <c r="G321" s="32" t="s">
        <v>31</v>
      </c>
    </row>
    <row r="322" spans="1:7" ht="15" customHeight="1" x14ac:dyDescent="0.2">
      <c r="A322" s="26" t="str">
        <f t="shared" ref="A322:A385" si="6">B322&amp;"-"&amp;C322</f>
        <v>Morgan-Oakdale</v>
      </c>
      <c r="B322" s="27" t="s">
        <v>145</v>
      </c>
      <c r="C322" s="26" t="s">
        <v>474</v>
      </c>
      <c r="D322" s="31">
        <v>0.13</v>
      </c>
      <c r="E322" s="218">
        <v>0.96</v>
      </c>
      <c r="F322" s="26" t="s">
        <v>177</v>
      </c>
      <c r="G322" s="32" t="s">
        <v>31</v>
      </c>
    </row>
    <row r="323" spans="1:7" ht="15" customHeight="1" x14ac:dyDescent="0.2">
      <c r="A323" s="26" t="str">
        <f t="shared" si="6"/>
        <v>Morgan-Oliver Springs</v>
      </c>
      <c r="B323" s="27" t="s">
        <v>145</v>
      </c>
      <c r="C323" s="26" t="s">
        <v>181</v>
      </c>
      <c r="D323" s="31">
        <v>0.21</v>
      </c>
      <c r="E323" s="218">
        <v>0.85999999999999988</v>
      </c>
      <c r="F323" s="26" t="s">
        <v>177</v>
      </c>
      <c r="G323" s="32" t="s">
        <v>31</v>
      </c>
    </row>
    <row r="324" spans="1:7" ht="15" customHeight="1" x14ac:dyDescent="0.2">
      <c r="A324" s="26" t="str">
        <f t="shared" si="6"/>
        <v>Morgan-Sunbright</v>
      </c>
      <c r="B324" s="27" t="s">
        <v>145</v>
      </c>
      <c r="C324" s="26" t="s">
        <v>475</v>
      </c>
      <c r="D324" s="31">
        <v>0.12</v>
      </c>
      <c r="E324" s="218">
        <v>0.81999999999999984</v>
      </c>
      <c r="F324" s="26" t="s">
        <v>177</v>
      </c>
      <c r="G324" s="32" t="s">
        <v>31</v>
      </c>
    </row>
    <row r="325" spans="1:7" ht="15" customHeight="1" x14ac:dyDescent="0.2">
      <c r="A325" s="26" t="str">
        <f t="shared" si="6"/>
        <v>Morgan-Wartburg</v>
      </c>
      <c r="B325" s="27" t="s">
        <v>145</v>
      </c>
      <c r="C325" s="26" t="s">
        <v>476</v>
      </c>
      <c r="D325" s="31">
        <v>0.12</v>
      </c>
      <c r="E325" s="218">
        <v>0.7699999999999998</v>
      </c>
      <c r="F325" s="26" t="s">
        <v>177</v>
      </c>
      <c r="G325" s="32" t="s">
        <v>31</v>
      </c>
    </row>
    <row r="326" spans="1:7" ht="15" customHeight="1" x14ac:dyDescent="0.2">
      <c r="A326" s="26" t="str">
        <f t="shared" si="6"/>
        <v>Obion-Obion County</v>
      </c>
      <c r="B326" s="27" t="s">
        <v>146</v>
      </c>
      <c r="C326" s="26" t="s">
        <v>477</v>
      </c>
      <c r="D326" s="31">
        <v>0.17</v>
      </c>
      <c r="E326" s="218">
        <v>0.84999999999999987</v>
      </c>
      <c r="F326" s="26" t="s">
        <v>59</v>
      </c>
      <c r="G326" s="32" t="s">
        <v>31</v>
      </c>
    </row>
    <row r="327" spans="1:7" ht="15" customHeight="1" x14ac:dyDescent="0.2">
      <c r="A327" s="26" t="str">
        <f t="shared" si="6"/>
        <v>Obion-Hornbeak</v>
      </c>
      <c r="B327" s="27" t="s">
        <v>146</v>
      </c>
      <c r="C327" s="26" t="s">
        <v>478</v>
      </c>
      <c r="D327" s="31">
        <v>0.2</v>
      </c>
      <c r="E327" s="218">
        <v>0.96</v>
      </c>
      <c r="F327" s="26" t="s">
        <v>177</v>
      </c>
      <c r="G327" s="32" t="s">
        <v>31</v>
      </c>
    </row>
    <row r="328" spans="1:7" ht="15" customHeight="1" x14ac:dyDescent="0.2">
      <c r="A328" s="26" t="str">
        <f t="shared" si="6"/>
        <v>Obion-Kenton</v>
      </c>
      <c r="B328" s="27" t="s">
        <v>146</v>
      </c>
      <c r="C328" s="26" t="s">
        <v>308</v>
      </c>
      <c r="D328" s="31">
        <v>0.18</v>
      </c>
      <c r="E328" s="218">
        <v>0.91999999999999993</v>
      </c>
      <c r="F328" s="26" t="s">
        <v>177</v>
      </c>
      <c r="G328" s="32" t="s">
        <v>31</v>
      </c>
    </row>
    <row r="329" spans="1:7" ht="15" customHeight="1" x14ac:dyDescent="0.2">
      <c r="A329" s="26" t="str">
        <f t="shared" si="6"/>
        <v>Obion-Obion</v>
      </c>
      <c r="B329" s="27" t="s">
        <v>146</v>
      </c>
      <c r="C329" s="26" t="s">
        <v>146</v>
      </c>
      <c r="D329" s="31">
        <v>0.13</v>
      </c>
      <c r="E329" s="218">
        <v>0.92999999999999994</v>
      </c>
      <c r="F329" s="26" t="s">
        <v>177</v>
      </c>
      <c r="G329" s="32" t="s">
        <v>31</v>
      </c>
    </row>
    <row r="330" spans="1:7" ht="15" customHeight="1" x14ac:dyDescent="0.2">
      <c r="A330" s="26" t="str">
        <f t="shared" si="6"/>
        <v>Obion-Rives</v>
      </c>
      <c r="B330" s="27" t="s">
        <v>146</v>
      </c>
      <c r="C330" s="26" t="s">
        <v>479</v>
      </c>
      <c r="D330" s="31">
        <v>0.16</v>
      </c>
      <c r="E330" s="218">
        <v>0.96</v>
      </c>
      <c r="F330" s="26" t="s">
        <v>177</v>
      </c>
      <c r="G330" s="32" t="s">
        <v>31</v>
      </c>
    </row>
    <row r="331" spans="1:7" ht="15" customHeight="1" x14ac:dyDescent="0.2">
      <c r="A331" s="26" t="str">
        <f t="shared" si="6"/>
        <v>Obion-Samburg</v>
      </c>
      <c r="B331" s="27" t="s">
        <v>146</v>
      </c>
      <c r="C331" s="26" t="s">
        <v>480</v>
      </c>
      <c r="D331" s="31">
        <v>0.2</v>
      </c>
      <c r="E331" s="218">
        <v>0.89999999999999991</v>
      </c>
      <c r="F331" s="26" t="s">
        <v>177</v>
      </c>
      <c r="G331" s="32" t="s">
        <v>31</v>
      </c>
    </row>
    <row r="332" spans="1:7" ht="15" customHeight="1" x14ac:dyDescent="0.2">
      <c r="A332" s="26" t="str">
        <f t="shared" si="6"/>
        <v>Obion-South Fulton</v>
      </c>
      <c r="B332" s="27" t="s">
        <v>146</v>
      </c>
      <c r="C332" s="26" t="s">
        <v>481</v>
      </c>
      <c r="D332" s="31">
        <v>0.13</v>
      </c>
      <c r="E332" s="218">
        <v>0.95</v>
      </c>
      <c r="F332" s="26" t="s">
        <v>177</v>
      </c>
      <c r="G332" s="32" t="s">
        <v>31</v>
      </c>
    </row>
    <row r="333" spans="1:7" ht="15" customHeight="1" x14ac:dyDescent="0.2">
      <c r="A333" s="26" t="str">
        <f t="shared" si="6"/>
        <v>Obion-Trimble</v>
      </c>
      <c r="B333" s="27" t="s">
        <v>146</v>
      </c>
      <c r="C333" s="26" t="s">
        <v>282</v>
      </c>
      <c r="D333" s="31">
        <v>0.17</v>
      </c>
      <c r="E333" s="218">
        <v>0.96</v>
      </c>
      <c r="F333" s="26" t="s">
        <v>177</v>
      </c>
      <c r="G333" s="32" t="s">
        <v>31</v>
      </c>
    </row>
    <row r="334" spans="1:7" ht="15" customHeight="1" x14ac:dyDescent="0.2">
      <c r="A334" s="26" t="str">
        <f t="shared" si="6"/>
        <v>Obion-Troy</v>
      </c>
      <c r="B334" s="27" t="s">
        <v>146</v>
      </c>
      <c r="C334" s="26" t="s">
        <v>482</v>
      </c>
      <c r="D334" s="31">
        <v>0.19</v>
      </c>
      <c r="E334" s="218">
        <v>0.90999999999999992</v>
      </c>
      <c r="F334" s="26" t="s">
        <v>177</v>
      </c>
      <c r="G334" s="32" t="s">
        <v>31</v>
      </c>
    </row>
    <row r="335" spans="1:7" ht="15" customHeight="1" x14ac:dyDescent="0.2">
      <c r="A335" s="26" t="str">
        <f t="shared" si="6"/>
        <v>Obion-Union City</v>
      </c>
      <c r="B335" s="27" t="s">
        <v>146</v>
      </c>
      <c r="C335" s="26" t="s">
        <v>483</v>
      </c>
      <c r="D335" s="31">
        <v>0.12</v>
      </c>
      <c r="E335" s="218">
        <v>0.81999999999999984</v>
      </c>
      <c r="F335" s="26" t="s">
        <v>177</v>
      </c>
      <c r="G335" s="32" t="s">
        <v>31</v>
      </c>
    </row>
    <row r="336" spans="1:7" ht="15" customHeight="1" x14ac:dyDescent="0.2">
      <c r="A336" s="26" t="str">
        <f t="shared" si="6"/>
        <v>Obion-Woodland Mills</v>
      </c>
      <c r="B336" s="27" t="s">
        <v>146</v>
      </c>
      <c r="C336" s="26" t="s">
        <v>484</v>
      </c>
      <c r="D336" s="31">
        <v>0.23</v>
      </c>
      <c r="E336" s="218">
        <v>0.95</v>
      </c>
      <c r="F336" s="26" t="s">
        <v>177</v>
      </c>
      <c r="G336" s="32" t="s">
        <v>31</v>
      </c>
    </row>
    <row r="337" spans="1:7" x14ac:dyDescent="0.2">
      <c r="A337" s="26" t="str">
        <f t="shared" si="6"/>
        <v>Overton-Overton County</v>
      </c>
      <c r="B337" s="27" t="s">
        <v>147</v>
      </c>
      <c r="C337" s="26" t="s">
        <v>485</v>
      </c>
      <c r="D337" s="31">
        <v>0.22</v>
      </c>
      <c r="E337" s="218">
        <v>0.8899999999999999</v>
      </c>
      <c r="F337" s="26" t="s">
        <v>59</v>
      </c>
      <c r="G337" s="32" t="s">
        <v>31</v>
      </c>
    </row>
    <row r="338" spans="1:7" x14ac:dyDescent="0.2">
      <c r="A338" s="26" t="str">
        <f t="shared" si="6"/>
        <v>Overton-Livingston</v>
      </c>
      <c r="B338" s="27" t="s">
        <v>147</v>
      </c>
      <c r="C338" s="26" t="s">
        <v>486</v>
      </c>
      <c r="D338" s="31">
        <v>0.2</v>
      </c>
      <c r="E338" s="218">
        <v>0.79999999999999982</v>
      </c>
      <c r="F338" s="26" t="s">
        <v>177</v>
      </c>
      <c r="G338" s="32" t="s">
        <v>31</v>
      </c>
    </row>
    <row r="339" spans="1:7" ht="15" customHeight="1" x14ac:dyDescent="0.2">
      <c r="A339" s="26" t="str">
        <f t="shared" si="6"/>
        <v>Perry-Perry County</v>
      </c>
      <c r="B339" s="27" t="s">
        <v>80</v>
      </c>
      <c r="C339" s="26" t="s">
        <v>487</v>
      </c>
      <c r="D339" s="31">
        <v>0.12</v>
      </c>
      <c r="E339" s="218">
        <v>0.83999999999999986</v>
      </c>
      <c r="F339" s="26" t="s">
        <v>59</v>
      </c>
      <c r="G339" s="32" t="s">
        <v>31</v>
      </c>
    </row>
    <row r="340" spans="1:7" ht="15" customHeight="1" x14ac:dyDescent="0.2">
      <c r="A340" s="26" t="str">
        <f t="shared" si="6"/>
        <v>Perry-Linden</v>
      </c>
      <c r="B340" s="27" t="s">
        <v>80</v>
      </c>
      <c r="C340" s="26" t="s">
        <v>488</v>
      </c>
      <c r="D340" s="31">
        <v>0.1</v>
      </c>
      <c r="E340" s="218">
        <v>0.81999999999999984</v>
      </c>
      <c r="F340" s="26" t="s">
        <v>177</v>
      </c>
      <c r="G340" s="32" t="s">
        <v>31</v>
      </c>
    </row>
    <row r="341" spans="1:7" ht="15" customHeight="1" x14ac:dyDescent="0.2">
      <c r="A341" s="26" t="str">
        <f t="shared" si="6"/>
        <v>Perry-Lobelville</v>
      </c>
      <c r="B341" s="27" t="s">
        <v>80</v>
      </c>
      <c r="C341" s="26" t="s">
        <v>489</v>
      </c>
      <c r="D341" s="31">
        <v>0.15</v>
      </c>
      <c r="E341" s="218">
        <v>0.7699999999999998</v>
      </c>
      <c r="F341" s="26" t="s">
        <v>177</v>
      </c>
      <c r="G341" s="32" t="s">
        <v>31</v>
      </c>
    </row>
    <row r="342" spans="1:7" ht="15" customHeight="1" x14ac:dyDescent="0.2">
      <c r="A342" s="26" t="str">
        <f t="shared" si="6"/>
        <v>Pickett-Pickett County</v>
      </c>
      <c r="B342" s="27" t="s">
        <v>148</v>
      </c>
      <c r="C342" s="26" t="s">
        <v>490</v>
      </c>
      <c r="D342" s="31">
        <v>0.15</v>
      </c>
      <c r="E342" s="218">
        <v>0.80999999999999983</v>
      </c>
      <c r="F342" s="26" t="s">
        <v>59</v>
      </c>
      <c r="G342" s="32" t="s">
        <v>31</v>
      </c>
    </row>
    <row r="343" spans="1:7" ht="15" customHeight="1" x14ac:dyDescent="0.2">
      <c r="A343" s="26" t="str">
        <f t="shared" si="6"/>
        <v>Pickett-Byrdstown</v>
      </c>
      <c r="B343" s="27" t="s">
        <v>148</v>
      </c>
      <c r="C343" s="26" t="s">
        <v>491</v>
      </c>
      <c r="D343" s="31">
        <v>0.14000000000000001</v>
      </c>
      <c r="E343" s="218">
        <v>0.86999999999999988</v>
      </c>
      <c r="F343" s="26" t="s">
        <v>177</v>
      </c>
      <c r="G343" s="32" t="s">
        <v>31</v>
      </c>
    </row>
    <row r="344" spans="1:7" ht="15" customHeight="1" x14ac:dyDescent="0.2">
      <c r="A344" s="26" t="str">
        <f t="shared" si="6"/>
        <v>Polk-Polk County</v>
      </c>
      <c r="B344" s="27" t="s">
        <v>70</v>
      </c>
      <c r="C344" s="26" t="s">
        <v>492</v>
      </c>
      <c r="D344" s="31">
        <v>0.21</v>
      </c>
      <c r="E344" s="218">
        <v>0.83999999999999986</v>
      </c>
      <c r="F344" s="26" t="s">
        <v>59</v>
      </c>
      <c r="G344" s="32" t="s">
        <v>31</v>
      </c>
    </row>
    <row r="345" spans="1:7" ht="15" customHeight="1" x14ac:dyDescent="0.2">
      <c r="A345" s="26" t="str">
        <f t="shared" si="6"/>
        <v>Polk-Benton</v>
      </c>
      <c r="B345" s="27" t="s">
        <v>70</v>
      </c>
      <c r="C345" s="26" t="s">
        <v>105</v>
      </c>
      <c r="D345" s="31">
        <v>0.17</v>
      </c>
      <c r="E345" s="218">
        <v>0.86999999999999988</v>
      </c>
      <c r="F345" s="26" t="s">
        <v>177</v>
      </c>
      <c r="G345" s="32" t="s">
        <v>31</v>
      </c>
    </row>
    <row r="346" spans="1:7" ht="15" customHeight="1" x14ac:dyDescent="0.2">
      <c r="A346" s="26" t="str">
        <f t="shared" si="6"/>
        <v>Polk-Copperhill</v>
      </c>
      <c r="B346" s="27" t="s">
        <v>70</v>
      </c>
      <c r="C346" s="26" t="s">
        <v>493</v>
      </c>
      <c r="D346" s="31">
        <v>0.13</v>
      </c>
      <c r="E346" s="218">
        <v>0.71999999999999975</v>
      </c>
      <c r="F346" s="26" t="s">
        <v>177</v>
      </c>
      <c r="G346" s="32" t="s">
        <v>31</v>
      </c>
    </row>
    <row r="347" spans="1:7" ht="15" customHeight="1" x14ac:dyDescent="0.2">
      <c r="A347" s="26" t="str">
        <f t="shared" si="6"/>
        <v>Polk-Ducktown</v>
      </c>
      <c r="B347" s="27" t="s">
        <v>70</v>
      </c>
      <c r="C347" s="26" t="s">
        <v>494</v>
      </c>
      <c r="D347" s="31">
        <v>0.18</v>
      </c>
      <c r="E347" s="218">
        <v>0.69999999999999973</v>
      </c>
      <c r="F347" s="26" t="s">
        <v>177</v>
      </c>
      <c r="G347" s="32" t="s">
        <v>31</v>
      </c>
    </row>
    <row r="348" spans="1:7" ht="15" customHeight="1" x14ac:dyDescent="0.2">
      <c r="A348" s="26" t="str">
        <f t="shared" si="6"/>
        <v>Putnam-Putnam County</v>
      </c>
      <c r="B348" s="27" t="s">
        <v>68</v>
      </c>
      <c r="C348" s="26" t="s">
        <v>495</v>
      </c>
      <c r="D348" s="31">
        <v>0.23</v>
      </c>
      <c r="E348" s="218">
        <v>0.79999999999999982</v>
      </c>
      <c r="F348" s="26" t="s">
        <v>59</v>
      </c>
      <c r="G348" s="32" t="s">
        <v>31</v>
      </c>
    </row>
    <row r="349" spans="1:7" ht="15" customHeight="1" x14ac:dyDescent="0.2">
      <c r="A349" s="26" t="str">
        <f t="shared" si="6"/>
        <v>Putnam-Algood</v>
      </c>
      <c r="B349" s="27" t="s">
        <v>68</v>
      </c>
      <c r="C349" s="26" t="s">
        <v>496</v>
      </c>
      <c r="D349" s="31">
        <v>0.21</v>
      </c>
      <c r="E349" s="218">
        <v>0.78999999999999981</v>
      </c>
      <c r="F349" s="26" t="s">
        <v>177</v>
      </c>
      <c r="G349" s="32" t="s">
        <v>31</v>
      </c>
    </row>
    <row r="350" spans="1:7" ht="15" customHeight="1" x14ac:dyDescent="0.2">
      <c r="A350" s="26" t="str">
        <f t="shared" si="6"/>
        <v>Putnam-Baxter</v>
      </c>
      <c r="B350" s="27" t="s">
        <v>68</v>
      </c>
      <c r="C350" s="26" t="s">
        <v>497</v>
      </c>
      <c r="D350" s="31">
        <v>0.21</v>
      </c>
      <c r="E350" s="218">
        <v>0.89999999999999991</v>
      </c>
      <c r="F350" s="26" t="s">
        <v>177</v>
      </c>
      <c r="G350" s="32" t="s">
        <v>31</v>
      </c>
    </row>
    <row r="351" spans="1:7" ht="15" customHeight="1" x14ac:dyDescent="0.2">
      <c r="A351" s="26" t="str">
        <f t="shared" si="6"/>
        <v>Putnam-Cookeville</v>
      </c>
      <c r="B351" s="27" t="s">
        <v>68</v>
      </c>
      <c r="C351" s="26" t="s">
        <v>498</v>
      </c>
      <c r="D351" s="31">
        <v>0.2</v>
      </c>
      <c r="E351" s="218">
        <v>0.72999999999999976</v>
      </c>
      <c r="F351" s="26" t="s">
        <v>177</v>
      </c>
      <c r="G351" s="32" t="s">
        <v>31</v>
      </c>
    </row>
    <row r="352" spans="1:7" ht="15" customHeight="1" x14ac:dyDescent="0.2">
      <c r="A352" s="26" t="str">
        <f t="shared" si="6"/>
        <v>Putnam-Monterey</v>
      </c>
      <c r="B352" s="27" t="s">
        <v>68</v>
      </c>
      <c r="C352" s="26" t="s">
        <v>499</v>
      </c>
      <c r="D352" s="31">
        <v>0.15</v>
      </c>
      <c r="E352" s="218">
        <v>0.90999999999999992</v>
      </c>
      <c r="F352" s="26" t="s">
        <v>177</v>
      </c>
      <c r="G352" s="32" t="s">
        <v>31</v>
      </c>
    </row>
    <row r="353" spans="1:7" ht="15" customHeight="1" x14ac:dyDescent="0.2">
      <c r="A353" s="26" t="str">
        <f t="shared" si="6"/>
        <v>Rhea-Rhea County</v>
      </c>
      <c r="B353" s="27" t="s">
        <v>69</v>
      </c>
      <c r="C353" s="26" t="s">
        <v>500</v>
      </c>
      <c r="D353" s="31">
        <v>0.17</v>
      </c>
      <c r="E353" s="218">
        <v>0.83999999999999986</v>
      </c>
      <c r="F353" s="26" t="s">
        <v>59</v>
      </c>
      <c r="G353" s="32" t="s">
        <v>31</v>
      </c>
    </row>
    <row r="354" spans="1:7" ht="15" customHeight="1" x14ac:dyDescent="0.2">
      <c r="A354" s="26" t="str">
        <f t="shared" si="6"/>
        <v>Rhea-Dayton</v>
      </c>
      <c r="B354" s="27" t="s">
        <v>69</v>
      </c>
      <c r="C354" s="26" t="s">
        <v>501</v>
      </c>
      <c r="D354" s="31">
        <v>0.12</v>
      </c>
      <c r="E354" s="218">
        <v>0.75999999999999979</v>
      </c>
      <c r="F354" s="26" t="s">
        <v>177</v>
      </c>
      <c r="G354" s="32" t="s">
        <v>31</v>
      </c>
    </row>
    <row r="355" spans="1:7" ht="15" customHeight="1" x14ac:dyDescent="0.2">
      <c r="A355" s="26" t="str">
        <f t="shared" si="6"/>
        <v>Rhea-Graysville</v>
      </c>
      <c r="B355" s="27" t="s">
        <v>69</v>
      </c>
      <c r="C355" s="26" t="s">
        <v>502</v>
      </c>
      <c r="D355" s="31">
        <v>0.19</v>
      </c>
      <c r="E355" s="218">
        <v>0.96</v>
      </c>
      <c r="F355" s="26" t="s">
        <v>177</v>
      </c>
      <c r="G355" s="32" t="s">
        <v>31</v>
      </c>
    </row>
    <row r="356" spans="1:7" ht="15" customHeight="1" x14ac:dyDescent="0.2">
      <c r="A356" s="26" t="str">
        <f t="shared" si="6"/>
        <v>Rhea-Spring City</v>
      </c>
      <c r="B356" s="27" t="s">
        <v>69</v>
      </c>
      <c r="C356" s="26" t="s">
        <v>503</v>
      </c>
      <c r="D356" s="31">
        <v>0.13</v>
      </c>
      <c r="E356" s="218">
        <v>0.83999999999999986</v>
      </c>
      <c r="F356" s="26" t="s">
        <v>177</v>
      </c>
      <c r="G356" s="32" t="s">
        <v>31</v>
      </c>
    </row>
    <row r="357" spans="1:7" ht="15" customHeight="1" x14ac:dyDescent="0.2">
      <c r="A357" s="26" t="str">
        <f t="shared" si="6"/>
        <v>Roane-Roane County</v>
      </c>
      <c r="B357" s="27" t="s">
        <v>89</v>
      </c>
      <c r="C357" s="26" t="s">
        <v>504</v>
      </c>
      <c r="D357" s="31">
        <v>0.22</v>
      </c>
      <c r="E357" s="218">
        <v>0.7699999999999998</v>
      </c>
      <c r="F357" s="26" t="s">
        <v>59</v>
      </c>
      <c r="G357" s="32" t="s">
        <v>31</v>
      </c>
    </row>
    <row r="358" spans="1:7" ht="15" customHeight="1" x14ac:dyDescent="0.2">
      <c r="A358" s="26" t="str">
        <f t="shared" si="6"/>
        <v>Roane-Harriman</v>
      </c>
      <c r="B358" s="27" t="s">
        <v>89</v>
      </c>
      <c r="C358" s="26" t="s">
        <v>505</v>
      </c>
      <c r="D358" s="31">
        <v>0.14000000000000001</v>
      </c>
      <c r="E358" s="218">
        <v>0.80999999999999983</v>
      </c>
      <c r="F358" s="26" t="s">
        <v>177</v>
      </c>
      <c r="G358" s="32" t="s">
        <v>31</v>
      </c>
    </row>
    <row r="359" spans="1:7" ht="15" customHeight="1" x14ac:dyDescent="0.2">
      <c r="A359" s="26" t="str">
        <f t="shared" si="6"/>
        <v>Roane-Kingston</v>
      </c>
      <c r="B359" s="27" t="s">
        <v>89</v>
      </c>
      <c r="C359" s="26" t="s">
        <v>506</v>
      </c>
      <c r="D359" s="31">
        <v>0.24</v>
      </c>
      <c r="E359" s="218">
        <v>0.7799999999999998</v>
      </c>
      <c r="F359" s="26" t="s">
        <v>177</v>
      </c>
      <c r="G359" s="32" t="s">
        <v>31</v>
      </c>
    </row>
    <row r="360" spans="1:7" ht="15" customHeight="1" x14ac:dyDescent="0.2">
      <c r="A360" s="35" t="str">
        <f t="shared" si="6"/>
        <v>Roane-Midtown</v>
      </c>
      <c r="B360" s="36" t="s">
        <v>89</v>
      </c>
      <c r="C360" s="35" t="s">
        <v>507</v>
      </c>
      <c r="D360" s="31" t="e">
        <v>#N/A</v>
      </c>
      <c r="E360" s="218">
        <v>0.7699999999999998</v>
      </c>
      <c r="F360" s="35" t="s">
        <v>177</v>
      </c>
      <c r="G360" s="32" t="s">
        <v>31</v>
      </c>
    </row>
    <row r="361" spans="1:7" ht="15" customHeight="1" x14ac:dyDescent="0.2">
      <c r="A361" s="26" t="str">
        <f t="shared" si="6"/>
        <v>Roane-Oak Ridge</v>
      </c>
      <c r="B361" s="27" t="s">
        <v>89</v>
      </c>
      <c r="C361" s="26" t="s">
        <v>180</v>
      </c>
      <c r="D361" s="31">
        <v>0.24</v>
      </c>
      <c r="E361" s="218">
        <v>0.64999999999999969</v>
      </c>
      <c r="F361" s="26" t="s">
        <v>177</v>
      </c>
      <c r="G361" s="32" t="s">
        <v>31</v>
      </c>
    </row>
    <row r="362" spans="1:7" ht="15" customHeight="1" x14ac:dyDescent="0.2">
      <c r="A362" s="26" t="str">
        <f t="shared" si="6"/>
        <v>Roane-Oliver Springs</v>
      </c>
      <c r="B362" s="27" t="s">
        <v>89</v>
      </c>
      <c r="C362" s="26" t="s">
        <v>181</v>
      </c>
      <c r="D362" s="31">
        <v>0.21</v>
      </c>
      <c r="E362" s="218">
        <v>0.85999999999999988</v>
      </c>
      <c r="F362" s="26" t="s">
        <v>177</v>
      </c>
      <c r="G362" s="32" t="s">
        <v>31</v>
      </c>
    </row>
    <row r="363" spans="1:7" ht="15" customHeight="1" x14ac:dyDescent="0.2">
      <c r="A363" s="26" t="str">
        <f t="shared" si="6"/>
        <v>Roane-Rockwood</v>
      </c>
      <c r="B363" s="27" t="s">
        <v>89</v>
      </c>
      <c r="C363" s="26" t="s">
        <v>508</v>
      </c>
      <c r="D363" s="31">
        <v>0.14000000000000001</v>
      </c>
      <c r="E363" s="218">
        <v>0.83999999999999986</v>
      </c>
      <c r="F363" s="26" t="s">
        <v>177</v>
      </c>
      <c r="G363" s="32" t="s">
        <v>31</v>
      </c>
    </row>
    <row r="364" spans="1:7" ht="15" customHeight="1" x14ac:dyDescent="0.2">
      <c r="A364" s="26" t="str">
        <f t="shared" si="6"/>
        <v>Robertson-Robertson County</v>
      </c>
      <c r="B364" s="27" t="s">
        <v>149</v>
      </c>
      <c r="C364" s="26" t="s">
        <v>509</v>
      </c>
      <c r="D364" s="31">
        <v>0.27</v>
      </c>
      <c r="E364" s="218">
        <v>0.80999999999999983</v>
      </c>
      <c r="F364" s="26" t="s">
        <v>59</v>
      </c>
      <c r="G364" s="32" t="s">
        <v>31</v>
      </c>
    </row>
    <row r="365" spans="1:7" ht="15" customHeight="1" x14ac:dyDescent="0.2">
      <c r="A365" s="26" t="str">
        <f t="shared" si="6"/>
        <v>Robertson-Adams</v>
      </c>
      <c r="B365" s="27" t="s">
        <v>149</v>
      </c>
      <c r="C365" s="26" t="s">
        <v>510</v>
      </c>
      <c r="D365" s="31">
        <v>0.26</v>
      </c>
      <c r="E365" s="218">
        <v>0.87999999999999989</v>
      </c>
      <c r="F365" s="26" t="s">
        <v>177</v>
      </c>
      <c r="G365" s="32" t="s">
        <v>31</v>
      </c>
    </row>
    <row r="366" spans="1:7" ht="15" customHeight="1" x14ac:dyDescent="0.2">
      <c r="A366" s="26" t="str">
        <f t="shared" si="6"/>
        <v>Robertson-Cedar Hill</v>
      </c>
      <c r="B366" s="27" t="s">
        <v>149</v>
      </c>
      <c r="C366" s="26" t="s">
        <v>511</v>
      </c>
      <c r="D366" s="31">
        <v>0.14000000000000001</v>
      </c>
      <c r="E366" s="218">
        <v>0.90999999999999992</v>
      </c>
      <c r="F366" s="26" t="s">
        <v>177</v>
      </c>
      <c r="G366" s="32" t="s">
        <v>31</v>
      </c>
    </row>
    <row r="367" spans="1:7" ht="15" customHeight="1" x14ac:dyDescent="0.2">
      <c r="A367" s="26" t="str">
        <f t="shared" si="6"/>
        <v>Robertson-Coopertown</v>
      </c>
      <c r="B367" s="27" t="s">
        <v>149</v>
      </c>
      <c r="C367" s="26" t="s">
        <v>512</v>
      </c>
      <c r="D367" s="31">
        <v>0.28999999999999998</v>
      </c>
      <c r="E367" s="218">
        <v>0.83999999999999986</v>
      </c>
      <c r="F367" s="26" t="s">
        <v>177</v>
      </c>
      <c r="G367" s="32" t="s">
        <v>31</v>
      </c>
    </row>
    <row r="368" spans="1:7" ht="15" customHeight="1" x14ac:dyDescent="0.2">
      <c r="A368" s="26" t="str">
        <f t="shared" si="6"/>
        <v>Robertson-Cross Plains</v>
      </c>
      <c r="B368" s="27" t="s">
        <v>149</v>
      </c>
      <c r="C368" s="26" t="s">
        <v>513</v>
      </c>
      <c r="D368" s="31">
        <v>0.28000000000000003</v>
      </c>
      <c r="E368" s="218">
        <v>0.85999999999999988</v>
      </c>
      <c r="F368" s="26" t="s">
        <v>177</v>
      </c>
      <c r="G368" s="32" t="s">
        <v>31</v>
      </c>
    </row>
    <row r="369" spans="1:7" ht="15" customHeight="1" x14ac:dyDescent="0.2">
      <c r="A369" s="26" t="str">
        <f t="shared" si="6"/>
        <v>Robertson-Greenbrier</v>
      </c>
      <c r="B369" s="27" t="s">
        <v>149</v>
      </c>
      <c r="C369" s="26" t="s">
        <v>514</v>
      </c>
      <c r="D369" s="31">
        <v>0.27</v>
      </c>
      <c r="E369" s="218">
        <v>0.90999999999999992</v>
      </c>
      <c r="F369" s="26" t="s">
        <v>177</v>
      </c>
      <c r="G369" s="32" t="s">
        <v>31</v>
      </c>
    </row>
    <row r="370" spans="1:7" ht="15" customHeight="1" x14ac:dyDescent="0.2">
      <c r="A370" s="26" t="str">
        <f t="shared" si="6"/>
        <v>Robertson-Millersville</v>
      </c>
      <c r="B370" s="27" t="s">
        <v>149</v>
      </c>
      <c r="C370" s="26" t="s">
        <v>515</v>
      </c>
      <c r="D370" s="31">
        <v>0.28000000000000003</v>
      </c>
      <c r="E370" s="218">
        <v>0.91999999999999993</v>
      </c>
      <c r="F370" s="26" t="s">
        <v>177</v>
      </c>
      <c r="G370" s="32" t="s">
        <v>31</v>
      </c>
    </row>
    <row r="371" spans="1:7" ht="15" customHeight="1" x14ac:dyDescent="0.2">
      <c r="A371" s="26" t="str">
        <f t="shared" si="6"/>
        <v>Robertson-Orlinda</v>
      </c>
      <c r="B371" s="27" t="s">
        <v>149</v>
      </c>
      <c r="C371" s="26" t="s">
        <v>516</v>
      </c>
      <c r="D371" s="31">
        <v>0.27</v>
      </c>
      <c r="E371" s="218">
        <v>0.83999999999999986</v>
      </c>
      <c r="F371" s="26" t="s">
        <v>177</v>
      </c>
      <c r="G371" s="32" t="s">
        <v>31</v>
      </c>
    </row>
    <row r="372" spans="1:7" ht="15" customHeight="1" x14ac:dyDescent="0.2">
      <c r="A372" s="26" t="str">
        <f t="shared" si="6"/>
        <v>Robertson-Portland</v>
      </c>
      <c r="B372" s="27" t="s">
        <v>149</v>
      </c>
      <c r="C372" s="26" t="s">
        <v>517</v>
      </c>
      <c r="D372" s="31">
        <v>0.27</v>
      </c>
      <c r="E372" s="218">
        <v>0.7799999999999998</v>
      </c>
      <c r="F372" s="26" t="s">
        <v>177</v>
      </c>
      <c r="G372" s="32" t="s">
        <v>31</v>
      </c>
    </row>
    <row r="373" spans="1:7" ht="15" customHeight="1" x14ac:dyDescent="0.2">
      <c r="A373" s="26" t="str">
        <f t="shared" si="6"/>
        <v>Robertson-Ridgetop</v>
      </c>
      <c r="B373" s="27" t="s">
        <v>149</v>
      </c>
      <c r="C373" s="26" t="s">
        <v>263</v>
      </c>
      <c r="D373" s="31">
        <v>0.28999999999999998</v>
      </c>
      <c r="E373" s="218">
        <v>0.8899999999999999</v>
      </c>
      <c r="F373" s="26" t="s">
        <v>177</v>
      </c>
      <c r="G373" s="32" t="s">
        <v>31</v>
      </c>
    </row>
    <row r="374" spans="1:7" ht="15" customHeight="1" x14ac:dyDescent="0.2">
      <c r="A374" s="26" t="str">
        <f t="shared" si="6"/>
        <v>Robertson-Springfield</v>
      </c>
      <c r="B374" s="27" t="s">
        <v>149</v>
      </c>
      <c r="C374" s="26" t="s">
        <v>518</v>
      </c>
      <c r="D374" s="31">
        <v>0.22</v>
      </c>
      <c r="E374" s="218">
        <v>0.78999999999999981</v>
      </c>
      <c r="F374" s="26" t="s">
        <v>177</v>
      </c>
      <c r="G374" s="32" t="s">
        <v>31</v>
      </c>
    </row>
    <row r="375" spans="1:7" ht="15" customHeight="1" x14ac:dyDescent="0.2">
      <c r="A375" s="26" t="str">
        <f t="shared" si="6"/>
        <v>Robertson-White House</v>
      </c>
      <c r="B375" s="27" t="s">
        <v>149</v>
      </c>
      <c r="C375" s="26" t="s">
        <v>519</v>
      </c>
      <c r="D375" s="31">
        <v>0.28999999999999998</v>
      </c>
      <c r="E375" s="218">
        <v>0.78999999999999981</v>
      </c>
      <c r="F375" s="26" t="s">
        <v>177</v>
      </c>
      <c r="G375" s="32" t="s">
        <v>31</v>
      </c>
    </row>
    <row r="376" spans="1:7" ht="15" customHeight="1" x14ac:dyDescent="0.2">
      <c r="A376" s="26" t="str">
        <f t="shared" si="6"/>
        <v>Rutherford-Rutherford County</v>
      </c>
      <c r="B376" s="27" t="s">
        <v>150</v>
      </c>
      <c r="C376" s="26" t="s">
        <v>520</v>
      </c>
      <c r="D376" s="31">
        <v>0.28999999999999998</v>
      </c>
      <c r="E376" s="218">
        <v>0.7699999999999998</v>
      </c>
      <c r="F376" s="26" t="s">
        <v>59</v>
      </c>
      <c r="G376" s="32" t="s">
        <v>31</v>
      </c>
    </row>
    <row r="377" spans="1:7" ht="15" customHeight="1" x14ac:dyDescent="0.2">
      <c r="A377" s="26" t="str">
        <f t="shared" si="6"/>
        <v>Rutherford-Eagleville</v>
      </c>
      <c r="B377" s="27" t="s">
        <v>150</v>
      </c>
      <c r="C377" s="26" t="s">
        <v>521</v>
      </c>
      <c r="D377" s="31">
        <v>0.3</v>
      </c>
      <c r="E377" s="218">
        <v>0.79999999999999982</v>
      </c>
      <c r="F377" s="26" t="s">
        <v>177</v>
      </c>
      <c r="G377" s="32" t="s">
        <v>31</v>
      </c>
    </row>
    <row r="378" spans="1:7" ht="15" customHeight="1" x14ac:dyDescent="0.2">
      <c r="A378" s="26" t="str">
        <f t="shared" si="6"/>
        <v>Rutherford-La Vergne</v>
      </c>
      <c r="B378" s="27" t="s">
        <v>150</v>
      </c>
      <c r="C378" s="26" t="s">
        <v>522</v>
      </c>
      <c r="D378" s="31">
        <v>0.27</v>
      </c>
      <c r="E378" s="218">
        <v>0.80999999999999983</v>
      </c>
      <c r="F378" s="26" t="s">
        <v>177</v>
      </c>
      <c r="G378" s="32" t="s">
        <v>31</v>
      </c>
    </row>
    <row r="379" spans="1:7" ht="15" customHeight="1" x14ac:dyDescent="0.2">
      <c r="A379" s="26" t="str">
        <f t="shared" si="6"/>
        <v>Rutherford-Murfreesboro</v>
      </c>
      <c r="B379" s="27" t="s">
        <v>150</v>
      </c>
      <c r="C379" s="26" t="s">
        <v>523</v>
      </c>
      <c r="D379" s="31">
        <v>0.28000000000000003</v>
      </c>
      <c r="E379" s="218">
        <v>0.75999999999999979</v>
      </c>
      <c r="F379" s="26" t="s">
        <v>177</v>
      </c>
      <c r="G379" s="32" t="s">
        <v>31</v>
      </c>
    </row>
    <row r="380" spans="1:7" ht="15" customHeight="1" x14ac:dyDescent="0.2">
      <c r="A380" s="26" t="str">
        <f t="shared" si="6"/>
        <v>Rutherford-Smyrna</v>
      </c>
      <c r="B380" s="27" t="s">
        <v>150</v>
      </c>
      <c r="C380" s="26" t="s">
        <v>524</v>
      </c>
      <c r="D380" s="31">
        <v>0.28000000000000003</v>
      </c>
      <c r="E380" s="218">
        <v>0.7699999999999998</v>
      </c>
      <c r="F380" s="26" t="s">
        <v>177</v>
      </c>
      <c r="G380" s="32" t="s">
        <v>31</v>
      </c>
    </row>
    <row r="381" spans="1:7" ht="15" customHeight="1" x14ac:dyDescent="0.2">
      <c r="A381" s="26" t="str">
        <f t="shared" si="6"/>
        <v>Scott-Scott County</v>
      </c>
      <c r="B381" s="27" t="s">
        <v>151</v>
      </c>
      <c r="C381" s="26" t="s">
        <v>525</v>
      </c>
      <c r="D381" s="31">
        <v>0.11</v>
      </c>
      <c r="E381" s="218">
        <v>0.89999999999999991</v>
      </c>
      <c r="F381" s="26" t="s">
        <v>59</v>
      </c>
      <c r="G381" s="32" t="s">
        <v>31</v>
      </c>
    </row>
    <row r="382" spans="1:7" ht="15" customHeight="1" x14ac:dyDescent="0.2">
      <c r="A382" s="26" t="str">
        <f t="shared" si="6"/>
        <v>Scott-Huntsville</v>
      </c>
      <c r="B382" s="27" t="s">
        <v>151</v>
      </c>
      <c r="C382" s="26" t="s">
        <v>526</v>
      </c>
      <c r="D382" s="31">
        <v>0.1</v>
      </c>
      <c r="E382" s="218">
        <v>0.82999999999999985</v>
      </c>
      <c r="F382" s="26" t="s">
        <v>177</v>
      </c>
      <c r="G382" s="32" t="s">
        <v>31</v>
      </c>
    </row>
    <row r="383" spans="1:7" ht="15" customHeight="1" x14ac:dyDescent="0.2">
      <c r="A383" s="26" t="str">
        <f t="shared" si="6"/>
        <v>Scott-Oneida</v>
      </c>
      <c r="B383" s="27" t="s">
        <v>151</v>
      </c>
      <c r="C383" s="26" t="s">
        <v>527</v>
      </c>
      <c r="D383" s="31">
        <v>0.1</v>
      </c>
      <c r="E383" s="218">
        <v>0.7799999999999998</v>
      </c>
      <c r="F383" s="26" t="s">
        <v>177</v>
      </c>
      <c r="G383" s="32" t="s">
        <v>31</v>
      </c>
    </row>
    <row r="384" spans="1:7" ht="15" customHeight="1" x14ac:dyDescent="0.2">
      <c r="A384" s="26" t="str">
        <f t="shared" si="6"/>
        <v>Scott-Winfield</v>
      </c>
      <c r="B384" s="27" t="s">
        <v>151</v>
      </c>
      <c r="C384" s="26" t="s">
        <v>528</v>
      </c>
      <c r="D384" s="31">
        <v>0.12</v>
      </c>
      <c r="E384" s="218">
        <v>0.86999999999999988</v>
      </c>
      <c r="F384" s="26" t="s">
        <v>177</v>
      </c>
      <c r="G384" s="32" t="s">
        <v>31</v>
      </c>
    </row>
    <row r="385" spans="1:7" ht="15" customHeight="1" x14ac:dyDescent="0.2">
      <c r="A385" s="26" t="str">
        <f t="shared" si="6"/>
        <v>Sequatchie-Sequatchie County</v>
      </c>
      <c r="B385" s="27" t="s">
        <v>152</v>
      </c>
      <c r="C385" s="26" t="s">
        <v>529</v>
      </c>
      <c r="D385" s="31">
        <v>0.18</v>
      </c>
      <c r="E385" s="218">
        <v>0.82999999999999985</v>
      </c>
      <c r="F385" s="26" t="s">
        <v>59</v>
      </c>
      <c r="G385" s="32" t="s">
        <v>31</v>
      </c>
    </row>
    <row r="386" spans="1:7" ht="15" customHeight="1" x14ac:dyDescent="0.2">
      <c r="A386" s="26" t="str">
        <f t="shared" ref="A386:A398" si="7">B386&amp;"-"&amp;C386</f>
        <v>Sequatchie-Dunlap</v>
      </c>
      <c r="B386" s="27" t="s">
        <v>152</v>
      </c>
      <c r="C386" s="26" t="s">
        <v>530</v>
      </c>
      <c r="D386" s="31">
        <v>0.17</v>
      </c>
      <c r="E386" s="218">
        <v>0.83999999999999986</v>
      </c>
      <c r="F386" s="26" t="s">
        <v>177</v>
      </c>
      <c r="G386" s="32" t="s">
        <v>31</v>
      </c>
    </row>
    <row r="387" spans="1:7" ht="15" customHeight="1" x14ac:dyDescent="0.2">
      <c r="A387" s="26" t="str">
        <f t="shared" si="7"/>
        <v>Sevier-Sevier County</v>
      </c>
      <c r="B387" s="27" t="s">
        <v>91</v>
      </c>
      <c r="C387" s="26" t="s">
        <v>531</v>
      </c>
      <c r="D387" s="31">
        <v>0.24</v>
      </c>
      <c r="E387" s="218">
        <v>0.60999999999999965</v>
      </c>
      <c r="F387" s="26" t="s">
        <v>59</v>
      </c>
      <c r="G387" s="32" t="s">
        <v>31</v>
      </c>
    </row>
    <row r="388" spans="1:7" ht="15" customHeight="1" x14ac:dyDescent="0.2">
      <c r="A388" s="26" t="str">
        <f t="shared" si="7"/>
        <v>Sevier-Gatlinburg</v>
      </c>
      <c r="B388" s="27" t="s">
        <v>91</v>
      </c>
      <c r="C388" s="26" t="s">
        <v>532</v>
      </c>
      <c r="D388" s="31">
        <v>0.26</v>
      </c>
      <c r="E388" s="218">
        <v>0.59999999999999964</v>
      </c>
      <c r="F388" s="26" t="s">
        <v>177</v>
      </c>
      <c r="G388" s="32" t="s">
        <v>31</v>
      </c>
    </row>
    <row r="389" spans="1:7" ht="15" customHeight="1" x14ac:dyDescent="0.2">
      <c r="A389" s="26" t="str">
        <f t="shared" si="7"/>
        <v>Sevier-Pigeon Forge</v>
      </c>
      <c r="B389" s="27" t="s">
        <v>91</v>
      </c>
      <c r="C389" s="26" t="s">
        <v>533</v>
      </c>
      <c r="D389" s="31">
        <v>0.25</v>
      </c>
      <c r="E389" s="218">
        <v>0.59999999999999964</v>
      </c>
      <c r="F389" s="26" t="s">
        <v>177</v>
      </c>
      <c r="G389" s="32" t="s">
        <v>31</v>
      </c>
    </row>
    <row r="390" spans="1:7" ht="15" customHeight="1" x14ac:dyDescent="0.2">
      <c r="A390" s="26" t="str">
        <f t="shared" si="7"/>
        <v>Sevier-Pittman Center</v>
      </c>
      <c r="B390" s="27" t="s">
        <v>91</v>
      </c>
      <c r="C390" s="26" t="s">
        <v>534</v>
      </c>
      <c r="D390" s="31">
        <v>0.28000000000000003</v>
      </c>
      <c r="E390" s="218">
        <v>0.59999999999999964</v>
      </c>
      <c r="F390" s="26" t="s">
        <v>177</v>
      </c>
      <c r="G390" s="32" t="s">
        <v>31</v>
      </c>
    </row>
    <row r="391" spans="1:7" ht="15" customHeight="1" x14ac:dyDescent="0.2">
      <c r="A391" s="26" t="str">
        <f t="shared" si="7"/>
        <v>Sevier-Sevierville</v>
      </c>
      <c r="B391" s="27" t="s">
        <v>91</v>
      </c>
      <c r="C391" s="26" t="s">
        <v>535</v>
      </c>
      <c r="D391" s="31">
        <v>0.23</v>
      </c>
      <c r="E391" s="218">
        <v>0.59999999999999964</v>
      </c>
      <c r="F391" s="26" t="s">
        <v>177</v>
      </c>
      <c r="G391" s="32" t="s">
        <v>31</v>
      </c>
    </row>
    <row r="392" spans="1:7" ht="15" customHeight="1" x14ac:dyDescent="0.2">
      <c r="A392" s="26" t="str">
        <f t="shared" si="7"/>
        <v>Shelby-Shelby County</v>
      </c>
      <c r="B392" s="27" t="s">
        <v>61</v>
      </c>
      <c r="C392" s="26" t="s">
        <v>536</v>
      </c>
      <c r="D392" s="31">
        <v>0.18</v>
      </c>
      <c r="E392" s="218">
        <v>0.79999999999999982</v>
      </c>
      <c r="F392" s="26" t="s">
        <v>59</v>
      </c>
      <c r="G392" s="32" t="s">
        <v>31</v>
      </c>
    </row>
    <row r="393" spans="1:7" ht="15" customHeight="1" x14ac:dyDescent="0.2">
      <c r="A393" s="26" t="str">
        <f t="shared" si="7"/>
        <v>Shelby-Arlington</v>
      </c>
      <c r="B393" s="27" t="s">
        <v>61</v>
      </c>
      <c r="C393" s="26" t="s">
        <v>537</v>
      </c>
      <c r="D393" s="31">
        <v>0.28000000000000003</v>
      </c>
      <c r="E393" s="218">
        <v>0.79999999999999982</v>
      </c>
      <c r="F393" s="26" t="s">
        <v>177</v>
      </c>
      <c r="G393" s="32" t="s">
        <v>31</v>
      </c>
    </row>
    <row r="394" spans="1:7" ht="15" customHeight="1" x14ac:dyDescent="0.2">
      <c r="A394" s="26" t="str">
        <f t="shared" si="7"/>
        <v>Shelby-Bartlett</v>
      </c>
      <c r="B394" s="27" t="s">
        <v>61</v>
      </c>
      <c r="C394" s="26" t="s">
        <v>538</v>
      </c>
      <c r="D394" s="31">
        <v>0.28999999999999998</v>
      </c>
      <c r="E394" s="218">
        <v>0.81999999999999984</v>
      </c>
      <c r="F394" s="26" t="s">
        <v>177</v>
      </c>
      <c r="G394" s="32" t="s">
        <v>31</v>
      </c>
    </row>
    <row r="395" spans="1:7" ht="15" customHeight="1" x14ac:dyDescent="0.2">
      <c r="A395" s="26" t="str">
        <f t="shared" si="7"/>
        <v>Shelby-Collierville</v>
      </c>
      <c r="B395" s="27" t="s">
        <v>61</v>
      </c>
      <c r="C395" s="26" t="s">
        <v>539</v>
      </c>
      <c r="D395" s="31">
        <v>0.3</v>
      </c>
      <c r="E395" s="218">
        <v>0.67999999999999972</v>
      </c>
      <c r="F395" s="26" t="s">
        <v>177</v>
      </c>
      <c r="G395" s="32" t="s">
        <v>31</v>
      </c>
    </row>
    <row r="396" spans="1:7" ht="15" customHeight="1" x14ac:dyDescent="0.2">
      <c r="A396" s="26" t="str">
        <f t="shared" si="7"/>
        <v>Shelby-Germantown</v>
      </c>
      <c r="B396" s="27" t="s">
        <v>61</v>
      </c>
      <c r="C396" s="26" t="s">
        <v>540</v>
      </c>
      <c r="D396" s="31">
        <v>0.3</v>
      </c>
      <c r="E396" s="218">
        <v>0.63999999999999968</v>
      </c>
      <c r="F396" s="26" t="s">
        <v>177</v>
      </c>
      <c r="G396" s="32" t="s">
        <v>31</v>
      </c>
    </row>
    <row r="397" spans="1:7" ht="15" customHeight="1" x14ac:dyDescent="0.2">
      <c r="A397" s="26" t="str">
        <f t="shared" si="7"/>
        <v>Shelby-Lakeland</v>
      </c>
      <c r="B397" s="27" t="s">
        <v>61</v>
      </c>
      <c r="C397" s="26" t="s">
        <v>541</v>
      </c>
      <c r="D397" s="31">
        <v>0.27</v>
      </c>
      <c r="E397" s="218">
        <v>0.8899999999999999</v>
      </c>
      <c r="F397" s="26" t="s">
        <v>177</v>
      </c>
      <c r="G397" s="32" t="s">
        <v>31</v>
      </c>
    </row>
    <row r="398" spans="1:7" ht="15" customHeight="1" x14ac:dyDescent="0.2">
      <c r="A398" s="26" t="str">
        <f t="shared" si="7"/>
        <v>Shelby-Memphis</v>
      </c>
      <c r="B398" s="27" t="s">
        <v>61</v>
      </c>
      <c r="C398" s="26" t="s">
        <v>542</v>
      </c>
      <c r="D398" s="31">
        <v>0.11</v>
      </c>
      <c r="E398" s="218">
        <v>0.83999999999999986</v>
      </c>
      <c r="F398" s="26" t="s">
        <v>177</v>
      </c>
      <c r="G398" s="32" t="s">
        <v>31</v>
      </c>
    </row>
    <row r="399" spans="1:7" ht="15" customHeight="1" x14ac:dyDescent="0.2">
      <c r="A399" s="27" t="s">
        <v>543</v>
      </c>
      <c r="B399" s="27" t="s">
        <v>61</v>
      </c>
      <c r="C399" s="26" t="s">
        <v>544</v>
      </c>
      <c r="D399" s="31">
        <v>0.18</v>
      </c>
      <c r="E399" s="218">
        <v>0.80999999999999983</v>
      </c>
      <c r="F399" s="26" t="s">
        <v>177</v>
      </c>
      <c r="G399" s="32" t="s">
        <v>31</v>
      </c>
    </row>
    <row r="400" spans="1:7" ht="15" customHeight="1" x14ac:dyDescent="0.2">
      <c r="A400" s="26" t="str">
        <f t="shared" ref="A400:A463" si="8">B400&amp;"-"&amp;C400</f>
        <v>Smith-Smith County</v>
      </c>
      <c r="B400" s="27" t="s">
        <v>63</v>
      </c>
      <c r="C400" s="26" t="s">
        <v>545</v>
      </c>
      <c r="D400" s="31">
        <v>0.23</v>
      </c>
      <c r="E400" s="218">
        <v>0.84999999999999987</v>
      </c>
      <c r="F400" s="26" t="s">
        <v>59</v>
      </c>
      <c r="G400" s="32" t="s">
        <v>31</v>
      </c>
    </row>
    <row r="401" spans="1:7" ht="15" customHeight="1" x14ac:dyDescent="0.2">
      <c r="A401" s="26" t="str">
        <f t="shared" si="8"/>
        <v>Smith-Carthage</v>
      </c>
      <c r="B401" s="27" t="s">
        <v>63</v>
      </c>
      <c r="C401" s="26" t="s">
        <v>546</v>
      </c>
      <c r="D401" s="31">
        <v>0.23</v>
      </c>
      <c r="E401" s="218">
        <v>0.75999999999999979</v>
      </c>
      <c r="F401" s="26" t="s">
        <v>177</v>
      </c>
      <c r="G401" s="32" t="s">
        <v>31</v>
      </c>
    </row>
    <row r="402" spans="1:7" x14ac:dyDescent="0.2">
      <c r="A402" s="26" t="str">
        <f t="shared" si="8"/>
        <v>Smith-Gordonsville</v>
      </c>
      <c r="B402" s="27" t="s">
        <v>63</v>
      </c>
      <c r="C402" s="26" t="s">
        <v>547</v>
      </c>
      <c r="D402" s="31">
        <v>0.25</v>
      </c>
      <c r="E402" s="218">
        <v>0.62999999999999967</v>
      </c>
      <c r="F402" s="26" t="s">
        <v>177</v>
      </c>
      <c r="G402" s="32" t="s">
        <v>31</v>
      </c>
    </row>
    <row r="403" spans="1:7" ht="15" customHeight="1" x14ac:dyDescent="0.2">
      <c r="A403" s="26" t="str">
        <f t="shared" si="8"/>
        <v>Smith-South Carthage</v>
      </c>
      <c r="B403" s="27" t="s">
        <v>63</v>
      </c>
      <c r="C403" s="26" t="s">
        <v>548</v>
      </c>
      <c r="D403" s="31">
        <v>0.2</v>
      </c>
      <c r="E403" s="218">
        <v>0.86999999999999988</v>
      </c>
      <c r="F403" s="26" t="s">
        <v>177</v>
      </c>
      <c r="G403" s="32" t="s">
        <v>31</v>
      </c>
    </row>
    <row r="404" spans="1:7" ht="15" customHeight="1" x14ac:dyDescent="0.2">
      <c r="A404" s="26" t="str">
        <f t="shared" si="8"/>
        <v>Stewart-Stewart County</v>
      </c>
      <c r="B404" s="27" t="s">
        <v>153</v>
      </c>
      <c r="C404" s="26" t="s">
        <v>549</v>
      </c>
      <c r="D404" s="31">
        <v>0.21</v>
      </c>
      <c r="E404" s="218">
        <v>0.83999999999999986</v>
      </c>
      <c r="F404" s="26" t="s">
        <v>59</v>
      </c>
      <c r="G404" s="32" t="s">
        <v>31</v>
      </c>
    </row>
    <row r="405" spans="1:7" ht="15" customHeight="1" x14ac:dyDescent="0.2">
      <c r="A405" s="26" t="str">
        <f t="shared" si="8"/>
        <v>Stewart-Cumberland City</v>
      </c>
      <c r="B405" s="27" t="s">
        <v>153</v>
      </c>
      <c r="C405" s="26" t="s">
        <v>550</v>
      </c>
      <c r="D405" s="31">
        <v>0.11</v>
      </c>
      <c r="E405" s="218">
        <v>0.59999999999999964</v>
      </c>
      <c r="F405" s="26" t="s">
        <v>177</v>
      </c>
      <c r="G405" s="32" t="s">
        <v>31</v>
      </c>
    </row>
    <row r="406" spans="1:7" ht="15" customHeight="1" x14ac:dyDescent="0.2">
      <c r="A406" s="26" t="str">
        <f t="shared" si="8"/>
        <v>Stewart-Dover</v>
      </c>
      <c r="B406" s="27" t="s">
        <v>153</v>
      </c>
      <c r="C406" s="26" t="s">
        <v>551</v>
      </c>
      <c r="D406" s="31">
        <v>0.21</v>
      </c>
      <c r="E406" s="218">
        <v>0.69999999999999973</v>
      </c>
      <c r="F406" s="26" t="s">
        <v>177</v>
      </c>
      <c r="G406" s="32" t="s">
        <v>31</v>
      </c>
    </row>
    <row r="407" spans="1:7" x14ac:dyDescent="0.2">
      <c r="A407" s="26" t="str">
        <f t="shared" si="8"/>
        <v>Stewart-Tennessee Ridge</v>
      </c>
      <c r="B407" s="27" t="s">
        <v>153</v>
      </c>
      <c r="C407" s="26" t="s">
        <v>386</v>
      </c>
      <c r="D407" s="31">
        <v>0.2</v>
      </c>
      <c r="E407" s="218">
        <v>0.95</v>
      </c>
      <c r="F407" s="26" t="s">
        <v>177</v>
      </c>
      <c r="G407" s="32" t="s">
        <v>31</v>
      </c>
    </row>
    <row r="408" spans="1:7" ht="15" customHeight="1" x14ac:dyDescent="0.2">
      <c r="A408" s="26" t="str">
        <f t="shared" si="8"/>
        <v>Sullivan-Sullivan County</v>
      </c>
      <c r="B408" s="27" t="s">
        <v>154</v>
      </c>
      <c r="C408" s="26" t="s">
        <v>552</v>
      </c>
      <c r="D408" s="31">
        <v>0.2</v>
      </c>
      <c r="E408" s="218">
        <v>0.75999999999999979</v>
      </c>
      <c r="F408" s="26" t="s">
        <v>59</v>
      </c>
      <c r="G408" s="32" t="s">
        <v>31</v>
      </c>
    </row>
    <row r="409" spans="1:7" ht="15" customHeight="1" x14ac:dyDescent="0.2">
      <c r="A409" s="26" t="str">
        <f t="shared" si="8"/>
        <v>Sullivan-Bluff City</v>
      </c>
      <c r="B409" s="27" t="s">
        <v>154</v>
      </c>
      <c r="C409" s="26" t="s">
        <v>553</v>
      </c>
      <c r="D409" s="31">
        <v>0.22</v>
      </c>
      <c r="E409" s="218">
        <v>0.90999999999999992</v>
      </c>
      <c r="F409" s="26" t="s">
        <v>177</v>
      </c>
      <c r="G409" s="32" t="s">
        <v>31</v>
      </c>
    </row>
    <row r="410" spans="1:7" ht="15" customHeight="1" x14ac:dyDescent="0.2">
      <c r="A410" s="26" t="str">
        <f t="shared" si="8"/>
        <v>Sullivan-Bristol</v>
      </c>
      <c r="B410" s="27" t="s">
        <v>154</v>
      </c>
      <c r="C410" s="26" t="s">
        <v>554</v>
      </c>
      <c r="D410" s="31">
        <v>0.19</v>
      </c>
      <c r="E410" s="218">
        <v>0.75999999999999979</v>
      </c>
      <c r="F410" s="26" t="s">
        <v>177</v>
      </c>
      <c r="G410" s="32" t="s">
        <v>31</v>
      </c>
    </row>
    <row r="411" spans="1:7" ht="15" customHeight="1" x14ac:dyDescent="0.2">
      <c r="A411" s="26" t="str">
        <f t="shared" si="8"/>
        <v>Sullivan-Johnson City</v>
      </c>
      <c r="B411" s="27" t="s">
        <v>154</v>
      </c>
      <c r="C411" s="26" t="s">
        <v>221</v>
      </c>
      <c r="D411" s="31">
        <v>0.21</v>
      </c>
      <c r="E411" s="218">
        <v>0.70999999999999974</v>
      </c>
      <c r="F411" s="26" t="s">
        <v>177</v>
      </c>
      <c r="G411" s="32" t="s">
        <v>31</v>
      </c>
    </row>
    <row r="412" spans="1:7" ht="15" customHeight="1" x14ac:dyDescent="0.2">
      <c r="A412" s="26" t="str">
        <f t="shared" si="8"/>
        <v>Sullivan-Kingsport</v>
      </c>
      <c r="B412" s="27" t="s">
        <v>154</v>
      </c>
      <c r="C412" s="26" t="s">
        <v>367</v>
      </c>
      <c r="D412" s="31">
        <v>0.18</v>
      </c>
      <c r="E412" s="218">
        <v>0.61999999999999966</v>
      </c>
      <c r="F412" s="26" t="s">
        <v>177</v>
      </c>
      <c r="G412" s="32" t="s">
        <v>31</v>
      </c>
    </row>
    <row r="413" spans="1:7" ht="15" customHeight="1" x14ac:dyDescent="0.2">
      <c r="A413" s="26" t="str">
        <f t="shared" si="8"/>
        <v>Sumner-Sumner County</v>
      </c>
      <c r="B413" s="27" t="s">
        <v>73</v>
      </c>
      <c r="C413" s="26" t="s">
        <v>555</v>
      </c>
      <c r="D413" s="31">
        <v>0.28999999999999998</v>
      </c>
      <c r="E413" s="218">
        <v>0.75999999999999979</v>
      </c>
      <c r="F413" s="26" t="s">
        <v>59</v>
      </c>
      <c r="G413" s="32" t="s">
        <v>31</v>
      </c>
    </row>
    <row r="414" spans="1:7" ht="15" customHeight="1" x14ac:dyDescent="0.2">
      <c r="A414" s="26" t="str">
        <f t="shared" si="8"/>
        <v>Sumner-Gallatin</v>
      </c>
      <c r="B414" s="27" t="s">
        <v>73</v>
      </c>
      <c r="C414" s="26" t="s">
        <v>556</v>
      </c>
      <c r="D414" s="31">
        <v>0.26</v>
      </c>
      <c r="E414" s="218">
        <v>0.72999999999999976</v>
      </c>
      <c r="F414" s="26" t="s">
        <v>177</v>
      </c>
      <c r="G414" s="32" t="s">
        <v>31</v>
      </c>
    </row>
    <row r="415" spans="1:7" ht="15" customHeight="1" x14ac:dyDescent="0.2">
      <c r="A415" s="35" t="str">
        <f t="shared" si="8"/>
        <v>Sumner-Goodlettsville</v>
      </c>
      <c r="B415" s="36" t="s">
        <v>73</v>
      </c>
      <c r="C415" s="35" t="s">
        <v>259</v>
      </c>
      <c r="D415" s="31">
        <v>0.26</v>
      </c>
      <c r="E415" s="218">
        <v>0.69999999999999973</v>
      </c>
      <c r="F415" s="35" t="s">
        <v>177</v>
      </c>
      <c r="G415" s="32" t="s">
        <v>31</v>
      </c>
    </row>
    <row r="416" spans="1:7" ht="15" customHeight="1" x14ac:dyDescent="0.2">
      <c r="A416" s="26" t="str">
        <f t="shared" si="8"/>
        <v>Sumner-Hendersonville</v>
      </c>
      <c r="B416" s="27" t="s">
        <v>73</v>
      </c>
      <c r="C416" s="26" t="s">
        <v>557</v>
      </c>
      <c r="D416" s="31">
        <v>0.28999999999999998</v>
      </c>
      <c r="E416" s="218">
        <v>0.74999999999999978</v>
      </c>
      <c r="F416" s="26" t="s">
        <v>177</v>
      </c>
      <c r="G416" s="32" t="s">
        <v>31</v>
      </c>
    </row>
    <row r="417" spans="1:7" ht="15" customHeight="1" x14ac:dyDescent="0.2">
      <c r="A417" s="26" t="str">
        <f t="shared" si="8"/>
        <v>Sumner-Millersville</v>
      </c>
      <c r="B417" s="27" t="s">
        <v>73</v>
      </c>
      <c r="C417" s="26" t="s">
        <v>515</v>
      </c>
      <c r="D417" s="31">
        <v>0.28000000000000003</v>
      </c>
      <c r="E417" s="218">
        <v>0.91999999999999993</v>
      </c>
      <c r="F417" s="26" t="s">
        <v>177</v>
      </c>
      <c r="G417" s="32" t="s">
        <v>31</v>
      </c>
    </row>
    <row r="418" spans="1:7" ht="15" customHeight="1" x14ac:dyDescent="0.2">
      <c r="A418" s="26" t="str">
        <f t="shared" si="8"/>
        <v>Sumner-Mitchellville</v>
      </c>
      <c r="B418" s="27" t="s">
        <v>73</v>
      </c>
      <c r="C418" s="26" t="s">
        <v>558</v>
      </c>
      <c r="D418" s="31">
        <v>0.23</v>
      </c>
      <c r="E418" s="218">
        <v>0.8899999999999999</v>
      </c>
      <c r="F418" s="26" t="s">
        <v>177</v>
      </c>
      <c r="G418" s="32" t="s">
        <v>31</v>
      </c>
    </row>
    <row r="419" spans="1:7" ht="15" customHeight="1" x14ac:dyDescent="0.2">
      <c r="A419" s="26" t="str">
        <f t="shared" si="8"/>
        <v>Sumner-Portland</v>
      </c>
      <c r="B419" s="27" t="s">
        <v>73</v>
      </c>
      <c r="C419" s="26" t="s">
        <v>517</v>
      </c>
      <c r="D419" s="31">
        <v>0.27</v>
      </c>
      <c r="E419" s="218">
        <v>0.7799999999999998</v>
      </c>
      <c r="F419" s="26" t="s">
        <v>177</v>
      </c>
      <c r="G419" s="32" t="s">
        <v>31</v>
      </c>
    </row>
    <row r="420" spans="1:7" ht="15" customHeight="1" x14ac:dyDescent="0.2">
      <c r="A420" s="35" t="str">
        <f t="shared" si="8"/>
        <v>Sumner-Walnut Grove</v>
      </c>
      <c r="B420" s="36" t="s">
        <v>73</v>
      </c>
      <c r="C420" s="35" t="s">
        <v>559</v>
      </c>
      <c r="D420" s="31" t="e">
        <v>#N/A</v>
      </c>
      <c r="E420" s="218">
        <v>0.75999999999999979</v>
      </c>
      <c r="F420" s="35" t="s">
        <v>177</v>
      </c>
      <c r="G420" s="32" t="s">
        <v>31</v>
      </c>
    </row>
    <row r="421" spans="1:7" ht="15" customHeight="1" x14ac:dyDescent="0.2">
      <c r="A421" s="26" t="str">
        <f t="shared" si="8"/>
        <v>Sumner-Westmoreland</v>
      </c>
      <c r="B421" s="27" t="s">
        <v>73</v>
      </c>
      <c r="C421" s="26" t="s">
        <v>560</v>
      </c>
      <c r="D421" s="31">
        <v>0.19</v>
      </c>
      <c r="E421" s="218">
        <v>0.85999999999999988</v>
      </c>
      <c r="F421" s="26" t="s">
        <v>177</v>
      </c>
      <c r="G421" s="32" t="s">
        <v>31</v>
      </c>
    </row>
    <row r="422" spans="1:7" ht="15" customHeight="1" x14ac:dyDescent="0.2">
      <c r="A422" s="26" t="str">
        <f t="shared" si="8"/>
        <v>Sumner-White House</v>
      </c>
      <c r="B422" s="27" t="s">
        <v>73</v>
      </c>
      <c r="C422" s="26" t="s">
        <v>519</v>
      </c>
      <c r="D422" s="31">
        <v>0.28999999999999998</v>
      </c>
      <c r="E422" s="218">
        <v>0.78999999999999981</v>
      </c>
      <c r="F422" s="26" t="s">
        <v>177</v>
      </c>
      <c r="G422" s="32" t="s">
        <v>31</v>
      </c>
    </row>
    <row r="423" spans="1:7" ht="15" customHeight="1" x14ac:dyDescent="0.2">
      <c r="A423" s="26" t="str">
        <f t="shared" si="8"/>
        <v>Tipton-Tipton County</v>
      </c>
      <c r="B423" s="27" t="s">
        <v>155</v>
      </c>
      <c r="C423" s="26" t="s">
        <v>561</v>
      </c>
      <c r="D423" s="31">
        <v>0.23</v>
      </c>
      <c r="E423" s="218">
        <v>0.85999999999999988</v>
      </c>
      <c r="F423" s="26" t="s">
        <v>59</v>
      </c>
      <c r="G423" s="32" t="s">
        <v>31</v>
      </c>
    </row>
    <row r="424" spans="1:7" ht="15" customHeight="1" x14ac:dyDescent="0.2">
      <c r="A424" s="26" t="str">
        <f t="shared" si="8"/>
        <v>Tipton-Atoka</v>
      </c>
      <c r="B424" s="27" t="s">
        <v>155</v>
      </c>
      <c r="C424" s="26" t="s">
        <v>562</v>
      </c>
      <c r="D424" s="31">
        <v>0.28999999999999998</v>
      </c>
      <c r="E424" s="218">
        <v>0.84999999999999987</v>
      </c>
      <c r="F424" s="26" t="s">
        <v>177</v>
      </c>
      <c r="G424" s="32" t="s">
        <v>31</v>
      </c>
    </row>
    <row r="425" spans="1:7" ht="15" customHeight="1" x14ac:dyDescent="0.2">
      <c r="A425" s="26" t="str">
        <f t="shared" si="8"/>
        <v>Tipton-Brighton</v>
      </c>
      <c r="B425" s="27" t="s">
        <v>155</v>
      </c>
      <c r="C425" s="26" t="s">
        <v>563</v>
      </c>
      <c r="D425" s="31">
        <v>0.24</v>
      </c>
      <c r="E425" s="218">
        <v>0.8899999999999999</v>
      </c>
      <c r="F425" s="26" t="s">
        <v>177</v>
      </c>
      <c r="G425" s="32" t="s">
        <v>31</v>
      </c>
    </row>
    <row r="426" spans="1:7" ht="15" customHeight="1" x14ac:dyDescent="0.2">
      <c r="A426" s="26" t="str">
        <f t="shared" si="8"/>
        <v>Tipton-Burlison</v>
      </c>
      <c r="B426" s="27" t="s">
        <v>155</v>
      </c>
      <c r="C426" s="26" t="s">
        <v>564</v>
      </c>
      <c r="D426" s="31">
        <v>0.17</v>
      </c>
      <c r="E426" s="218">
        <v>0.8899999999999999</v>
      </c>
      <c r="F426" s="26" t="s">
        <v>177</v>
      </c>
      <c r="G426" s="32" t="s">
        <v>31</v>
      </c>
    </row>
    <row r="427" spans="1:7" ht="15" customHeight="1" x14ac:dyDescent="0.2">
      <c r="A427" s="26" t="str">
        <f t="shared" si="8"/>
        <v>Tipton-Covington</v>
      </c>
      <c r="B427" s="27" t="s">
        <v>155</v>
      </c>
      <c r="C427" s="26" t="s">
        <v>565</v>
      </c>
      <c r="D427" s="31">
        <v>0.13</v>
      </c>
      <c r="E427" s="218">
        <v>0.7699999999999998</v>
      </c>
      <c r="F427" s="26" t="s">
        <v>177</v>
      </c>
      <c r="G427" s="32" t="s">
        <v>31</v>
      </c>
    </row>
    <row r="428" spans="1:7" ht="15" customHeight="1" x14ac:dyDescent="0.2">
      <c r="A428" s="26" t="str">
        <f t="shared" si="8"/>
        <v>Tipton-Garland</v>
      </c>
      <c r="B428" s="27" t="s">
        <v>155</v>
      </c>
      <c r="C428" s="26" t="s">
        <v>566</v>
      </c>
      <c r="D428" s="31">
        <v>0.26</v>
      </c>
      <c r="E428" s="218">
        <v>0.87999999999999989</v>
      </c>
      <c r="F428" s="26" t="s">
        <v>177</v>
      </c>
      <c r="G428" s="32" t="s">
        <v>31</v>
      </c>
    </row>
    <row r="429" spans="1:7" ht="15" customHeight="1" x14ac:dyDescent="0.2">
      <c r="A429" s="26" t="str">
        <f t="shared" si="8"/>
        <v>Tipton-Gilt Edge</v>
      </c>
      <c r="B429" s="27" t="s">
        <v>155</v>
      </c>
      <c r="C429" s="26" t="s">
        <v>567</v>
      </c>
      <c r="D429" s="31">
        <v>0.22</v>
      </c>
      <c r="E429" s="218">
        <v>0.86999999999999988</v>
      </c>
      <c r="F429" s="26" t="s">
        <v>177</v>
      </c>
      <c r="G429" s="32" t="s">
        <v>31</v>
      </c>
    </row>
    <row r="430" spans="1:7" ht="15" customHeight="1" x14ac:dyDescent="0.2">
      <c r="A430" s="26" t="str">
        <f t="shared" si="8"/>
        <v>Tipton-Mason</v>
      </c>
      <c r="B430" s="27" t="s">
        <v>155</v>
      </c>
      <c r="C430" s="26" t="s">
        <v>568</v>
      </c>
      <c r="D430" s="31">
        <v>0.1</v>
      </c>
      <c r="E430" s="218">
        <v>0.96</v>
      </c>
      <c r="F430" s="26" t="s">
        <v>177</v>
      </c>
      <c r="G430" s="32" t="s">
        <v>31</v>
      </c>
    </row>
    <row r="431" spans="1:7" ht="15" customHeight="1" x14ac:dyDescent="0.2">
      <c r="A431" s="26" t="str">
        <f t="shared" si="8"/>
        <v>Tipton-Munford</v>
      </c>
      <c r="B431" s="27" t="s">
        <v>155</v>
      </c>
      <c r="C431" s="26" t="s">
        <v>569</v>
      </c>
      <c r="D431" s="31">
        <v>0.25</v>
      </c>
      <c r="E431" s="218">
        <v>0.87999999999999989</v>
      </c>
      <c r="F431" s="26" t="s">
        <v>177</v>
      </c>
      <c r="G431" s="32" t="s">
        <v>31</v>
      </c>
    </row>
    <row r="432" spans="1:7" ht="15" customHeight="1" x14ac:dyDescent="0.2">
      <c r="A432" s="26" t="str">
        <f t="shared" si="8"/>
        <v>Trousdale-Trousdale County</v>
      </c>
      <c r="B432" s="27" t="s">
        <v>156</v>
      </c>
      <c r="C432" s="26" t="s">
        <v>570</v>
      </c>
      <c r="D432" s="31">
        <v>0.28000000000000003</v>
      </c>
      <c r="E432" s="218">
        <v>0.86999999999999988</v>
      </c>
      <c r="F432" s="26" t="s">
        <v>59</v>
      </c>
      <c r="G432" s="32" t="s">
        <v>31</v>
      </c>
    </row>
    <row r="433" spans="1:7" ht="15" customHeight="1" x14ac:dyDescent="0.2">
      <c r="A433" s="26" t="str">
        <f t="shared" si="8"/>
        <v>Trousdale-Hartsville</v>
      </c>
      <c r="B433" s="27" t="s">
        <v>156</v>
      </c>
      <c r="C433" s="26" t="s">
        <v>168</v>
      </c>
      <c r="D433" s="31">
        <v>0.27</v>
      </c>
      <c r="E433" s="218">
        <v>0.96</v>
      </c>
      <c r="F433" s="26" t="s">
        <v>177</v>
      </c>
      <c r="G433" s="32" t="s">
        <v>31</v>
      </c>
    </row>
    <row r="434" spans="1:7" ht="15" customHeight="1" x14ac:dyDescent="0.2">
      <c r="A434" s="26" t="str">
        <f t="shared" si="8"/>
        <v>Unicoi-Unicoi County</v>
      </c>
      <c r="B434" s="27" t="s">
        <v>157</v>
      </c>
      <c r="C434" s="26" t="s">
        <v>571</v>
      </c>
      <c r="D434" s="31">
        <v>0.15</v>
      </c>
      <c r="E434" s="218">
        <v>0.85999999999999988</v>
      </c>
      <c r="F434" s="26" t="s">
        <v>59</v>
      </c>
      <c r="G434" s="32" t="s">
        <v>31</v>
      </c>
    </row>
    <row r="435" spans="1:7" ht="15" customHeight="1" x14ac:dyDescent="0.2">
      <c r="A435" s="26" t="str">
        <f t="shared" si="8"/>
        <v>Unicoi-Erwin</v>
      </c>
      <c r="B435" s="27" t="s">
        <v>157</v>
      </c>
      <c r="C435" s="26" t="s">
        <v>572</v>
      </c>
      <c r="D435" s="31">
        <v>0.12</v>
      </c>
      <c r="E435" s="218">
        <v>0.79999999999999982</v>
      </c>
      <c r="F435" s="26" t="s">
        <v>177</v>
      </c>
      <c r="G435" s="32" t="s">
        <v>31</v>
      </c>
    </row>
    <row r="436" spans="1:7" ht="15" customHeight="1" x14ac:dyDescent="0.2">
      <c r="A436" s="26" t="str">
        <f t="shared" si="8"/>
        <v>Unicoi-Unicoi</v>
      </c>
      <c r="B436" s="27" t="s">
        <v>157</v>
      </c>
      <c r="C436" s="26" t="s">
        <v>157</v>
      </c>
      <c r="D436" s="31">
        <v>0.17</v>
      </c>
      <c r="E436" s="218">
        <v>0.84999999999999987</v>
      </c>
      <c r="F436" s="26" t="s">
        <v>177</v>
      </c>
      <c r="G436" s="32" t="s">
        <v>31</v>
      </c>
    </row>
    <row r="437" spans="1:7" ht="15" customHeight="1" x14ac:dyDescent="0.2">
      <c r="A437" s="26" t="str">
        <f t="shared" si="8"/>
        <v>Union-Union County</v>
      </c>
      <c r="B437" s="27" t="s">
        <v>158</v>
      </c>
      <c r="C437" s="26" t="s">
        <v>573</v>
      </c>
      <c r="D437" s="31">
        <v>0.16</v>
      </c>
      <c r="E437" s="218">
        <v>0.86999999999999988</v>
      </c>
      <c r="F437" s="26" t="s">
        <v>59</v>
      </c>
      <c r="G437" s="32" t="s">
        <v>31</v>
      </c>
    </row>
    <row r="438" spans="1:7" ht="15" customHeight="1" x14ac:dyDescent="0.2">
      <c r="A438" s="26" t="str">
        <f t="shared" si="8"/>
        <v>Union-Luttrell</v>
      </c>
      <c r="B438" s="27" t="s">
        <v>158</v>
      </c>
      <c r="C438" s="26" t="s">
        <v>574</v>
      </c>
      <c r="D438" s="31">
        <v>0.12</v>
      </c>
      <c r="E438" s="218">
        <v>0.86999999999999988</v>
      </c>
      <c r="F438" s="26" t="s">
        <v>177</v>
      </c>
      <c r="G438" s="32" t="s">
        <v>31</v>
      </c>
    </row>
    <row r="439" spans="1:7" ht="15" customHeight="1" x14ac:dyDescent="0.2">
      <c r="A439" s="26" t="str">
        <f t="shared" si="8"/>
        <v>Union-Maynardville</v>
      </c>
      <c r="B439" s="27" t="s">
        <v>158</v>
      </c>
      <c r="C439" s="26" t="s">
        <v>575</v>
      </c>
      <c r="D439" s="31">
        <v>0.14000000000000001</v>
      </c>
      <c r="E439" s="218">
        <v>0.83999999999999986</v>
      </c>
      <c r="F439" s="26" t="s">
        <v>177</v>
      </c>
      <c r="G439" s="32" t="s">
        <v>31</v>
      </c>
    </row>
    <row r="440" spans="1:7" ht="15" customHeight="1" x14ac:dyDescent="0.2">
      <c r="A440" s="26" t="str">
        <f t="shared" si="8"/>
        <v>Union-Plainview</v>
      </c>
      <c r="B440" s="27" t="s">
        <v>158</v>
      </c>
      <c r="C440" s="26" t="s">
        <v>576</v>
      </c>
      <c r="D440" s="31">
        <v>0.17</v>
      </c>
      <c r="E440" s="218">
        <v>0.8899999999999999</v>
      </c>
      <c r="F440" s="26" t="s">
        <v>177</v>
      </c>
      <c r="G440" s="32" t="s">
        <v>31</v>
      </c>
    </row>
    <row r="441" spans="1:7" ht="15" customHeight="1" x14ac:dyDescent="0.2">
      <c r="A441" s="26" t="str">
        <f t="shared" si="8"/>
        <v>Van Buren-Van Buren County</v>
      </c>
      <c r="B441" s="27" t="s">
        <v>159</v>
      </c>
      <c r="C441" s="26" t="s">
        <v>577</v>
      </c>
      <c r="D441" s="31">
        <v>0.2</v>
      </c>
      <c r="E441" s="218">
        <v>0.7799999999999998</v>
      </c>
      <c r="F441" s="26" t="s">
        <v>59</v>
      </c>
      <c r="G441" s="32" t="s">
        <v>31</v>
      </c>
    </row>
    <row r="442" spans="1:7" ht="15" customHeight="1" x14ac:dyDescent="0.2">
      <c r="A442" s="26" t="str">
        <f t="shared" si="8"/>
        <v>Van Buren-Spencer</v>
      </c>
      <c r="B442" s="27" t="s">
        <v>159</v>
      </c>
      <c r="C442" s="26" t="s">
        <v>578</v>
      </c>
      <c r="D442" s="31">
        <v>0.13</v>
      </c>
      <c r="E442" s="218">
        <v>0.7799999999999998</v>
      </c>
      <c r="F442" s="26" t="s">
        <v>177</v>
      </c>
      <c r="G442" s="32" t="s">
        <v>31</v>
      </c>
    </row>
    <row r="443" spans="1:7" ht="15" customHeight="1" x14ac:dyDescent="0.2">
      <c r="A443" s="26" t="str">
        <f t="shared" si="8"/>
        <v>Warren-Warren County</v>
      </c>
      <c r="B443" s="27" t="s">
        <v>82</v>
      </c>
      <c r="C443" s="26" t="s">
        <v>579</v>
      </c>
      <c r="D443" s="31">
        <v>0.18</v>
      </c>
      <c r="E443" s="218">
        <v>0.83999999999999986</v>
      </c>
      <c r="F443" s="26" t="s">
        <v>59</v>
      </c>
      <c r="G443" s="32" t="s">
        <v>31</v>
      </c>
    </row>
    <row r="444" spans="1:7" ht="15" customHeight="1" x14ac:dyDescent="0.2">
      <c r="A444" s="26" t="str">
        <f t="shared" si="8"/>
        <v>Warren-Centertown</v>
      </c>
      <c r="B444" s="27" t="s">
        <v>82</v>
      </c>
      <c r="C444" s="26" t="s">
        <v>580</v>
      </c>
      <c r="D444" s="31">
        <v>0.27</v>
      </c>
      <c r="E444" s="218">
        <v>0.89999999999999991</v>
      </c>
      <c r="F444" s="26" t="s">
        <v>177</v>
      </c>
      <c r="G444" s="32" t="s">
        <v>31</v>
      </c>
    </row>
    <row r="445" spans="1:7" ht="15" customHeight="1" x14ac:dyDescent="0.2">
      <c r="A445" s="26" t="str">
        <f t="shared" si="8"/>
        <v>Warren-McMinnville</v>
      </c>
      <c r="B445" s="27" t="s">
        <v>82</v>
      </c>
      <c r="C445" s="26" t="s">
        <v>581</v>
      </c>
      <c r="D445" s="31">
        <v>0.13</v>
      </c>
      <c r="E445" s="218">
        <v>0.82999999999999985</v>
      </c>
      <c r="F445" s="26" t="s">
        <v>177</v>
      </c>
      <c r="G445" s="32" t="s">
        <v>31</v>
      </c>
    </row>
    <row r="446" spans="1:7" ht="15" customHeight="1" x14ac:dyDescent="0.2">
      <c r="A446" s="26" t="str">
        <f t="shared" si="8"/>
        <v>Warren-Morrison</v>
      </c>
      <c r="B446" s="27" t="s">
        <v>82</v>
      </c>
      <c r="C446" s="26" t="s">
        <v>582</v>
      </c>
      <c r="D446" s="31">
        <v>0.14000000000000001</v>
      </c>
      <c r="E446" s="218">
        <v>0.84999999999999987</v>
      </c>
      <c r="F446" s="26" t="s">
        <v>177</v>
      </c>
      <c r="G446" s="32" t="s">
        <v>31</v>
      </c>
    </row>
    <row r="447" spans="1:7" ht="15" customHeight="1" x14ac:dyDescent="0.2">
      <c r="A447" s="26" t="str">
        <f t="shared" si="8"/>
        <v>Warren-Viola</v>
      </c>
      <c r="B447" s="27" t="s">
        <v>82</v>
      </c>
      <c r="C447" s="26" t="s">
        <v>583</v>
      </c>
      <c r="D447" s="31">
        <v>0.11</v>
      </c>
      <c r="E447" s="218">
        <v>0.86999999999999988</v>
      </c>
      <c r="F447" s="26" t="s">
        <v>177</v>
      </c>
      <c r="G447" s="32" t="s">
        <v>31</v>
      </c>
    </row>
    <row r="448" spans="1:7" ht="15" customHeight="1" x14ac:dyDescent="0.2">
      <c r="A448" s="26" t="str">
        <f t="shared" si="8"/>
        <v>Washington-Washington County</v>
      </c>
      <c r="B448" s="27" t="s">
        <v>55</v>
      </c>
      <c r="C448" s="26" t="s">
        <v>584</v>
      </c>
      <c r="D448" s="31">
        <v>0.23</v>
      </c>
      <c r="E448" s="218">
        <v>0.75999999999999979</v>
      </c>
      <c r="F448" s="26" t="s">
        <v>59</v>
      </c>
      <c r="G448" s="32" t="s">
        <v>31</v>
      </c>
    </row>
    <row r="449" spans="1:7" x14ac:dyDescent="0.2">
      <c r="A449" s="26" t="str">
        <f t="shared" si="8"/>
        <v>Washington-Johnson City</v>
      </c>
      <c r="B449" s="27" t="s">
        <v>55</v>
      </c>
      <c r="C449" s="26" t="s">
        <v>221</v>
      </c>
      <c r="D449" s="31">
        <v>0.21</v>
      </c>
      <c r="E449" s="218">
        <v>0.70999999999999974</v>
      </c>
      <c r="F449" s="26" t="s">
        <v>177</v>
      </c>
      <c r="G449" s="32" t="s">
        <v>31</v>
      </c>
    </row>
    <row r="450" spans="1:7" ht="15" customHeight="1" x14ac:dyDescent="0.2">
      <c r="A450" s="26" t="str">
        <f t="shared" si="8"/>
        <v>Washington-Jonesborough</v>
      </c>
      <c r="B450" s="27" t="s">
        <v>55</v>
      </c>
      <c r="C450" s="26" t="s">
        <v>585</v>
      </c>
      <c r="D450" s="31">
        <v>0.26</v>
      </c>
      <c r="E450" s="218">
        <v>0.74999999999999978</v>
      </c>
      <c r="F450" s="26" t="s">
        <v>177</v>
      </c>
      <c r="G450" s="32" t="s">
        <v>31</v>
      </c>
    </row>
    <row r="451" spans="1:7" ht="15" customHeight="1" x14ac:dyDescent="0.2">
      <c r="A451" s="26" t="str">
        <f t="shared" si="8"/>
        <v>Wayne-Wayne County</v>
      </c>
      <c r="B451" s="27" t="s">
        <v>66</v>
      </c>
      <c r="C451" s="26" t="s">
        <v>586</v>
      </c>
      <c r="D451" s="31">
        <v>0.16</v>
      </c>
      <c r="E451" s="218">
        <v>0.8899999999999999</v>
      </c>
      <c r="F451" s="26" t="s">
        <v>59</v>
      </c>
      <c r="G451" s="32" t="s">
        <v>31</v>
      </c>
    </row>
    <row r="452" spans="1:7" ht="15" customHeight="1" x14ac:dyDescent="0.2">
      <c r="A452" s="26" t="str">
        <f t="shared" si="8"/>
        <v>Wayne-Clifton</v>
      </c>
      <c r="B452" s="27" t="s">
        <v>66</v>
      </c>
      <c r="C452" s="26" t="s">
        <v>587</v>
      </c>
      <c r="D452" s="31">
        <v>0.12</v>
      </c>
      <c r="E452" s="218">
        <v>0.96</v>
      </c>
      <c r="F452" s="26" t="s">
        <v>177</v>
      </c>
      <c r="G452" s="32" t="s">
        <v>31</v>
      </c>
    </row>
    <row r="453" spans="1:7" ht="15" customHeight="1" x14ac:dyDescent="0.2">
      <c r="A453" s="26" t="str">
        <f t="shared" si="8"/>
        <v>Wayne-Collinwood</v>
      </c>
      <c r="B453" s="27" t="s">
        <v>66</v>
      </c>
      <c r="C453" s="26" t="s">
        <v>588</v>
      </c>
      <c r="D453" s="31">
        <v>0.14000000000000001</v>
      </c>
      <c r="E453" s="218">
        <v>0.84999999999999987</v>
      </c>
      <c r="F453" s="26" t="s">
        <v>177</v>
      </c>
      <c r="G453" s="32" t="s">
        <v>31</v>
      </c>
    </row>
    <row r="454" spans="1:7" ht="15" customHeight="1" x14ac:dyDescent="0.2">
      <c r="A454" s="35" t="str">
        <f t="shared" si="8"/>
        <v>Wayne-Iron City</v>
      </c>
      <c r="B454" s="36" t="s">
        <v>66</v>
      </c>
      <c r="C454" s="35" t="s">
        <v>414</v>
      </c>
      <c r="D454" s="31" t="e">
        <v>#N/A</v>
      </c>
      <c r="E454" s="218">
        <v>0.8899999999999999</v>
      </c>
      <c r="F454" s="35" t="s">
        <v>177</v>
      </c>
      <c r="G454" s="32" t="s">
        <v>31</v>
      </c>
    </row>
    <row r="455" spans="1:7" ht="15" customHeight="1" x14ac:dyDescent="0.2">
      <c r="A455" s="26" t="str">
        <f t="shared" si="8"/>
        <v>Wayne-Waynesboro</v>
      </c>
      <c r="B455" s="27" t="s">
        <v>66</v>
      </c>
      <c r="C455" s="26" t="s">
        <v>589</v>
      </c>
      <c r="D455" s="31">
        <v>0.14000000000000001</v>
      </c>
      <c r="E455" s="218">
        <v>0.86999999999999988</v>
      </c>
      <c r="F455" s="26" t="s">
        <v>177</v>
      </c>
      <c r="G455" s="32" t="s">
        <v>31</v>
      </c>
    </row>
    <row r="456" spans="1:7" ht="15" customHeight="1" x14ac:dyDescent="0.2">
      <c r="A456" s="26" t="str">
        <f t="shared" si="8"/>
        <v>Weakley-Weakley County</v>
      </c>
      <c r="B456" s="27" t="s">
        <v>74</v>
      </c>
      <c r="C456" s="26" t="s">
        <v>590</v>
      </c>
      <c r="D456" s="31">
        <v>0.19</v>
      </c>
      <c r="E456" s="218">
        <v>0.89999999999999991</v>
      </c>
      <c r="F456" s="26" t="s">
        <v>59</v>
      </c>
      <c r="G456" s="32" t="s">
        <v>31</v>
      </c>
    </row>
    <row r="457" spans="1:7" ht="15" customHeight="1" x14ac:dyDescent="0.2">
      <c r="A457" s="26" t="str">
        <f t="shared" si="8"/>
        <v>Weakley-Dresden</v>
      </c>
      <c r="B457" s="27" t="s">
        <v>74</v>
      </c>
      <c r="C457" s="26" t="s">
        <v>591</v>
      </c>
      <c r="D457" s="31">
        <v>0.21</v>
      </c>
      <c r="E457" s="218">
        <v>0.89999999999999991</v>
      </c>
      <c r="F457" s="26" t="s">
        <v>177</v>
      </c>
      <c r="G457" s="32" t="s">
        <v>31</v>
      </c>
    </row>
    <row r="458" spans="1:7" ht="15" customHeight="1" x14ac:dyDescent="0.2">
      <c r="A458" s="26" t="str">
        <f t="shared" si="8"/>
        <v>Weakley-Gleason</v>
      </c>
      <c r="B458" s="27" t="s">
        <v>74</v>
      </c>
      <c r="C458" s="26" t="s">
        <v>592</v>
      </c>
      <c r="D458" s="31">
        <v>0.16</v>
      </c>
      <c r="E458" s="218">
        <v>0.95</v>
      </c>
      <c r="F458" s="26" t="s">
        <v>177</v>
      </c>
      <c r="G458" s="32" t="s">
        <v>31</v>
      </c>
    </row>
    <row r="459" spans="1:7" ht="15" customHeight="1" x14ac:dyDescent="0.2">
      <c r="A459" s="26" t="str">
        <f t="shared" si="8"/>
        <v>Weakley-Greenfield</v>
      </c>
      <c r="B459" s="27" t="s">
        <v>74</v>
      </c>
      <c r="C459" s="26" t="s">
        <v>593</v>
      </c>
      <c r="D459" s="31">
        <v>0.16</v>
      </c>
      <c r="E459" s="218">
        <v>0.94</v>
      </c>
      <c r="F459" s="26" t="s">
        <v>177</v>
      </c>
      <c r="G459" s="32" t="s">
        <v>31</v>
      </c>
    </row>
    <row r="460" spans="1:7" ht="15" customHeight="1" x14ac:dyDescent="0.2">
      <c r="A460" s="26" t="str">
        <f t="shared" si="8"/>
        <v>Weakley-Martin</v>
      </c>
      <c r="B460" s="27" t="s">
        <v>74</v>
      </c>
      <c r="C460" s="26" t="s">
        <v>594</v>
      </c>
      <c r="D460" s="31">
        <v>0.15</v>
      </c>
      <c r="E460" s="218">
        <v>0.8899999999999999</v>
      </c>
      <c r="F460" s="26" t="s">
        <v>177</v>
      </c>
      <c r="G460" s="32" t="s">
        <v>31</v>
      </c>
    </row>
    <row r="461" spans="1:7" ht="15" customHeight="1" x14ac:dyDescent="0.2">
      <c r="A461" s="26" t="str">
        <f t="shared" si="8"/>
        <v>Weakley-McKenzie</v>
      </c>
      <c r="B461" s="27" t="s">
        <v>74</v>
      </c>
      <c r="C461" s="26" t="s">
        <v>216</v>
      </c>
      <c r="D461" s="31">
        <v>0.15</v>
      </c>
      <c r="E461" s="218">
        <v>0.89999999999999991</v>
      </c>
      <c r="F461" s="26" t="s">
        <v>177</v>
      </c>
      <c r="G461" s="32" t="s">
        <v>31</v>
      </c>
    </row>
    <row r="462" spans="1:7" ht="15" customHeight="1" x14ac:dyDescent="0.2">
      <c r="A462" s="26" t="str">
        <f t="shared" si="8"/>
        <v>Weakley-Sharon</v>
      </c>
      <c r="B462" s="27" t="s">
        <v>74</v>
      </c>
      <c r="C462" s="26" t="s">
        <v>595</v>
      </c>
      <c r="D462" s="31">
        <v>0.18</v>
      </c>
      <c r="E462" s="218">
        <v>0.92999999999999994</v>
      </c>
      <c r="F462" s="26" t="s">
        <v>177</v>
      </c>
      <c r="G462" s="32" t="s">
        <v>31</v>
      </c>
    </row>
    <row r="463" spans="1:7" ht="15" customHeight="1" x14ac:dyDescent="0.2">
      <c r="A463" s="26" t="str">
        <f t="shared" si="8"/>
        <v>White-White County</v>
      </c>
      <c r="B463" s="27" t="s">
        <v>160</v>
      </c>
      <c r="C463" s="26" t="s">
        <v>596</v>
      </c>
      <c r="D463" s="31">
        <v>0.21</v>
      </c>
      <c r="E463" s="218">
        <v>0.86999999999999988</v>
      </c>
      <c r="F463" s="26" t="s">
        <v>59</v>
      </c>
      <c r="G463" s="32" t="s">
        <v>31</v>
      </c>
    </row>
    <row r="464" spans="1:7" ht="15" customHeight="1" x14ac:dyDescent="0.2">
      <c r="A464" s="26" t="str">
        <f t="shared" ref="A464:A476" si="9">B464&amp;"-"&amp;C464</f>
        <v>White-Doyle</v>
      </c>
      <c r="B464" s="27" t="s">
        <v>160</v>
      </c>
      <c r="C464" s="26" t="s">
        <v>597</v>
      </c>
      <c r="D464" s="31">
        <v>0.17</v>
      </c>
      <c r="E464" s="218">
        <v>0.86999999999999988</v>
      </c>
      <c r="F464" s="26" t="s">
        <v>177</v>
      </c>
      <c r="G464" s="32" t="s">
        <v>31</v>
      </c>
    </row>
    <row r="465" spans="1:7" ht="15" customHeight="1" x14ac:dyDescent="0.2">
      <c r="A465" s="26" t="str">
        <f t="shared" si="9"/>
        <v>White-Sparta</v>
      </c>
      <c r="B465" s="27" t="s">
        <v>160</v>
      </c>
      <c r="C465" s="26" t="s">
        <v>598</v>
      </c>
      <c r="D465" s="31">
        <v>0.2</v>
      </c>
      <c r="E465" s="218">
        <v>0.7699999999999998</v>
      </c>
      <c r="F465" s="26" t="s">
        <v>177</v>
      </c>
      <c r="G465" s="32" t="s">
        <v>31</v>
      </c>
    </row>
    <row r="466" spans="1:7" ht="15" customHeight="1" x14ac:dyDescent="0.2">
      <c r="A466" s="26" t="str">
        <f t="shared" si="9"/>
        <v>Williamson-Williamson County</v>
      </c>
      <c r="B466" s="27" t="s">
        <v>161</v>
      </c>
      <c r="C466" s="26" t="s">
        <v>599</v>
      </c>
      <c r="D466" s="31">
        <v>0.3</v>
      </c>
      <c r="E466" s="218">
        <v>0.60999999999999965</v>
      </c>
      <c r="F466" s="26" t="s">
        <v>59</v>
      </c>
      <c r="G466" s="32" t="s">
        <v>31</v>
      </c>
    </row>
    <row r="467" spans="1:7" ht="15" customHeight="1" x14ac:dyDescent="0.2">
      <c r="A467" s="26" t="str">
        <f t="shared" si="9"/>
        <v>Williamson-Brentwood</v>
      </c>
      <c r="B467" s="27" t="s">
        <v>161</v>
      </c>
      <c r="C467" s="26" t="s">
        <v>600</v>
      </c>
      <c r="D467" s="31">
        <v>0.3</v>
      </c>
      <c r="E467" s="218">
        <v>0.59999999999999964</v>
      </c>
      <c r="F467" s="26" t="s">
        <v>177</v>
      </c>
      <c r="G467" s="32" t="s">
        <v>31</v>
      </c>
    </row>
    <row r="468" spans="1:7" ht="15" customHeight="1" x14ac:dyDescent="0.2">
      <c r="A468" s="26" t="str">
        <f t="shared" si="9"/>
        <v>Williamson-Fairview</v>
      </c>
      <c r="B468" s="27" t="s">
        <v>161</v>
      </c>
      <c r="C468" s="26" t="s">
        <v>601</v>
      </c>
      <c r="D468" s="31">
        <v>0.28999999999999998</v>
      </c>
      <c r="E468" s="218">
        <v>0.80999999999999983</v>
      </c>
      <c r="F468" s="26" t="s">
        <v>177</v>
      </c>
      <c r="G468" s="32" t="s">
        <v>31</v>
      </c>
    </row>
    <row r="469" spans="1:7" ht="15" customHeight="1" x14ac:dyDescent="0.2">
      <c r="A469" s="26" t="str">
        <f t="shared" si="9"/>
        <v>Williamson-Franklin</v>
      </c>
      <c r="B469" s="27" t="s">
        <v>161</v>
      </c>
      <c r="C469" s="26" t="s">
        <v>96</v>
      </c>
      <c r="D469" s="31">
        <v>0.3</v>
      </c>
      <c r="E469" s="218">
        <v>0.74999999999999978</v>
      </c>
      <c r="F469" s="26" t="s">
        <v>177</v>
      </c>
      <c r="G469" s="32" t="s">
        <v>31</v>
      </c>
    </row>
    <row r="470" spans="1:7" ht="15" customHeight="1" x14ac:dyDescent="0.2">
      <c r="A470" s="26" t="str">
        <f t="shared" si="9"/>
        <v>Williamson-Nolensville</v>
      </c>
      <c r="B470" s="27" t="s">
        <v>161</v>
      </c>
      <c r="C470" s="26" t="s">
        <v>602</v>
      </c>
      <c r="D470" s="31">
        <v>0.3</v>
      </c>
      <c r="E470" s="218">
        <v>0.72999999999999976</v>
      </c>
      <c r="F470" s="26" t="s">
        <v>177</v>
      </c>
      <c r="G470" s="32" t="s">
        <v>31</v>
      </c>
    </row>
    <row r="471" spans="1:7" ht="15" customHeight="1" x14ac:dyDescent="0.2">
      <c r="A471" s="26" t="str">
        <f t="shared" si="9"/>
        <v>Williamson-Spring Hill</v>
      </c>
      <c r="B471" s="27" t="s">
        <v>161</v>
      </c>
      <c r="C471" s="26" t="s">
        <v>448</v>
      </c>
      <c r="D471" s="31">
        <v>0.3</v>
      </c>
      <c r="E471" s="218">
        <v>0.80999999999999983</v>
      </c>
      <c r="F471" s="26" t="s">
        <v>177</v>
      </c>
      <c r="G471" s="32" t="s">
        <v>31</v>
      </c>
    </row>
    <row r="472" spans="1:7" ht="15" customHeight="1" x14ac:dyDescent="0.2">
      <c r="A472" s="26" t="str">
        <f t="shared" si="9"/>
        <v>Williamson-Thompson's Station</v>
      </c>
      <c r="B472" s="27" t="s">
        <v>161</v>
      </c>
      <c r="C472" s="26" t="s">
        <v>169</v>
      </c>
      <c r="D472" s="31">
        <v>0.3</v>
      </c>
      <c r="E472" s="218">
        <v>0.60999999999999965</v>
      </c>
      <c r="F472" s="26" t="s">
        <v>177</v>
      </c>
      <c r="G472" s="32" t="s">
        <v>31</v>
      </c>
    </row>
    <row r="473" spans="1:7" ht="15" customHeight="1" x14ac:dyDescent="0.2">
      <c r="A473" s="26" t="str">
        <f t="shared" si="9"/>
        <v>Wilson-Wilson County</v>
      </c>
      <c r="B473" s="27" t="s">
        <v>162</v>
      </c>
      <c r="C473" s="26" t="s">
        <v>603</v>
      </c>
      <c r="D473" s="31">
        <v>0.3</v>
      </c>
      <c r="E473" s="218">
        <v>0.73999999999999977</v>
      </c>
      <c r="F473" s="26" t="s">
        <v>59</v>
      </c>
      <c r="G473" s="32" t="s">
        <v>31</v>
      </c>
    </row>
    <row r="474" spans="1:7" ht="15" customHeight="1" x14ac:dyDescent="0.2">
      <c r="A474" s="26" t="str">
        <f t="shared" si="9"/>
        <v>Wilson-Lebanon</v>
      </c>
      <c r="B474" s="27" t="s">
        <v>162</v>
      </c>
      <c r="C474" s="26" t="s">
        <v>604</v>
      </c>
      <c r="D474" s="31">
        <v>0.25</v>
      </c>
      <c r="E474" s="218">
        <v>0.63999999999999968</v>
      </c>
      <c r="F474" s="26" t="s">
        <v>177</v>
      </c>
      <c r="G474" s="32" t="s">
        <v>31</v>
      </c>
    </row>
    <row r="475" spans="1:7" ht="15" customHeight="1" x14ac:dyDescent="0.2">
      <c r="A475" s="26" t="str">
        <f t="shared" si="9"/>
        <v>Wilson-Mount Juliet</v>
      </c>
      <c r="B475" s="27" t="s">
        <v>162</v>
      </c>
      <c r="C475" s="26" t="s">
        <v>605</v>
      </c>
      <c r="D475" s="31">
        <v>0.3</v>
      </c>
      <c r="E475" s="218">
        <v>0.70999999999999974</v>
      </c>
      <c r="F475" s="26" t="s">
        <v>177</v>
      </c>
      <c r="G475" s="32" t="s">
        <v>31</v>
      </c>
    </row>
    <row r="476" spans="1:7" ht="15" customHeight="1" x14ac:dyDescent="0.2">
      <c r="A476" s="26" t="str">
        <f t="shared" si="9"/>
        <v>Wilson-Watertown</v>
      </c>
      <c r="B476" s="27" t="s">
        <v>162</v>
      </c>
      <c r="C476" s="26" t="s">
        <v>606</v>
      </c>
      <c r="D476" s="31">
        <v>0.24</v>
      </c>
      <c r="E476" s="218">
        <v>0.90999999999999992</v>
      </c>
      <c r="F476" s="26" t="s">
        <v>177</v>
      </c>
      <c r="G476" s="32" t="s">
        <v>31</v>
      </c>
    </row>
  </sheetData>
  <sheetProtection algorithmName="SHA-512" hashValue="h+2EdUgqqyV+YDwMXbsi3QkJBdEtLp6irAUBLpdwtpHnzbKzkbv7xappe7XXtV2VYeUNl/WPJXQvcujIdMvhqg==" saltValue="QwF60WU8Vq1uL3HOzfHoAg==" spinCount="100000" sheet="1" objects="1" scenarios="1"/>
  <sortState xmlns:xlrd2="http://schemas.microsoft.com/office/spreadsheetml/2017/richdata2" ref="A135:G141">
    <sortCondition descending="1" ref="F135:F141"/>
    <sortCondition ref="C135:C141"/>
  </sortState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100</vt:i4>
      </vt:variant>
    </vt:vector>
  </HeadingPairs>
  <TitlesOfParts>
    <vt:vector size="106" baseType="lpstr">
      <vt:lpstr>Budget Template</vt:lpstr>
      <vt:lpstr>Grant Budget</vt:lpstr>
      <vt:lpstr>Grant Budget Detail</vt:lpstr>
      <vt:lpstr>Inspection &amp; Design Guideline</vt:lpstr>
      <vt:lpstr>County Tier</vt:lpstr>
      <vt:lpstr>ATP Table (2)</vt:lpstr>
      <vt:lpstr>Anderson</vt:lpstr>
      <vt:lpstr>ATPRates2016</vt:lpstr>
      <vt:lpstr>Bedford</vt:lpstr>
      <vt:lpstr>Benton</vt:lpstr>
      <vt:lpstr>Bledsoe</vt:lpstr>
      <vt:lpstr>Blount</vt:lpstr>
      <vt:lpstr>Bradley</vt:lpstr>
      <vt:lpstr>Campbell</vt:lpstr>
      <vt:lpstr>Cannon</vt:lpstr>
      <vt:lpstr>Carroll</vt:lpstr>
      <vt:lpstr>Carter</vt:lpstr>
      <vt:lpstr>Cheatham</vt:lpstr>
      <vt:lpstr>Chester</vt:lpstr>
      <vt:lpstr>Claiborne</vt:lpstr>
      <vt:lpstr>Clay</vt:lpstr>
      <vt:lpstr>Cocke</vt:lpstr>
      <vt:lpstr>Coffee</vt:lpstr>
      <vt:lpstr>Counties</vt:lpstr>
      <vt:lpstr>CountyTier18</vt:lpstr>
      <vt:lpstr>Crockett</vt:lpstr>
      <vt:lpstr>Cumberland</vt:lpstr>
      <vt:lpstr>Davidson</vt:lpstr>
      <vt:lpstr>Decatur</vt:lpstr>
      <vt:lpstr>DeKalb</vt:lpstr>
      <vt:lpstr>Dickson</vt:lpstr>
      <vt:lpstr>Dyer</vt:lpstr>
      <vt:lpstr>Fayette</vt:lpstr>
      <vt:lpstr>Fentress</vt:lpstr>
      <vt:lpstr>Franklin</vt:lpstr>
      <vt:lpstr>Gibson</vt:lpstr>
      <vt:lpstr>Giles</vt:lpstr>
      <vt:lpstr>Grainger</vt:lpstr>
      <vt:lpstr>Greene</vt:lpstr>
      <vt:lpstr>Grundy</vt:lpstr>
      <vt:lpstr>Hamblen</vt:lpstr>
      <vt:lpstr>Hamilton</vt:lpstr>
      <vt:lpstr>Hancock</vt:lpstr>
      <vt:lpstr>Hardeman</vt:lpstr>
      <vt:lpstr>Hardin</vt:lpstr>
      <vt:lpstr>Hawkins</vt:lpstr>
      <vt:lpstr>Haywood</vt:lpstr>
      <vt:lpstr>Henderson</vt:lpstr>
      <vt:lpstr>Henry</vt:lpstr>
      <vt:lpstr>Hickman</vt:lpstr>
      <vt:lpstr>Houston</vt:lpstr>
      <vt:lpstr>Humphreys</vt:lpstr>
      <vt:lpstr>Jackson</vt:lpstr>
      <vt:lpstr>Jefferson</vt:lpstr>
      <vt:lpstr>Johnson</vt:lpstr>
      <vt:lpstr>Knox</vt:lpstr>
      <vt:lpstr>Lake</vt:lpstr>
      <vt:lpstr>Lauderdale</vt:lpstr>
      <vt:lpstr>Lawrence</vt:lpstr>
      <vt:lpstr>Lewis</vt:lpstr>
      <vt:lpstr>Lincoln</vt:lpstr>
      <vt:lpstr>Loudon</vt:lpstr>
      <vt:lpstr>Macon</vt:lpstr>
      <vt:lpstr>Madison</vt:lpstr>
      <vt:lpstr>Marion</vt:lpstr>
      <vt:lpstr>Marshall</vt:lpstr>
      <vt:lpstr>Maury</vt:lpstr>
      <vt:lpstr>McMinn</vt:lpstr>
      <vt:lpstr>McNairy</vt:lpstr>
      <vt:lpstr>Meigs</vt:lpstr>
      <vt:lpstr>Monroe</vt:lpstr>
      <vt:lpstr>Montgomery</vt:lpstr>
      <vt:lpstr>Moore</vt:lpstr>
      <vt:lpstr>Morgan</vt:lpstr>
      <vt:lpstr>Obion</vt:lpstr>
      <vt:lpstr>Overton</vt:lpstr>
      <vt:lpstr>Perry</vt:lpstr>
      <vt:lpstr>Pickett</vt:lpstr>
      <vt:lpstr>Polk</vt:lpstr>
      <vt:lpstr>'Budget Template'!Print_Area</vt:lpstr>
      <vt:lpstr>'Grant Budget'!Print_Area</vt:lpstr>
      <vt:lpstr>Putnam</vt:lpstr>
      <vt:lpstr>Rhea</vt:lpstr>
      <vt:lpstr>Roane</vt:lpstr>
      <vt:lpstr>Robertson</vt:lpstr>
      <vt:lpstr>Rutherford</vt:lpstr>
      <vt:lpstr>Scott</vt:lpstr>
      <vt:lpstr>Sequatchie</vt:lpstr>
      <vt:lpstr>Sevier</vt:lpstr>
      <vt:lpstr>Shelby</vt:lpstr>
      <vt:lpstr>Smith</vt:lpstr>
      <vt:lpstr>Stewart</vt:lpstr>
      <vt:lpstr>Sullivan</vt:lpstr>
      <vt:lpstr>Sumner</vt:lpstr>
      <vt:lpstr>Tipton</vt:lpstr>
      <vt:lpstr>Trousdale</vt:lpstr>
      <vt:lpstr>Unicoi</vt:lpstr>
      <vt:lpstr>Union</vt:lpstr>
      <vt:lpstr>Van_Buren</vt:lpstr>
      <vt:lpstr>Warren</vt:lpstr>
      <vt:lpstr>Washington</vt:lpstr>
      <vt:lpstr>Wayne</vt:lpstr>
      <vt:lpstr>Weakley</vt:lpstr>
      <vt:lpstr>White</vt:lpstr>
      <vt:lpstr>Williamson</vt:lpstr>
      <vt:lpstr>Wilson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VanderMeer</dc:creator>
  <cp:lastModifiedBy>Kent Archer</cp:lastModifiedBy>
  <cp:lastPrinted>2020-01-15T23:08:59Z</cp:lastPrinted>
  <dcterms:created xsi:type="dcterms:W3CDTF">2017-01-18T13:44:10Z</dcterms:created>
  <dcterms:modified xsi:type="dcterms:W3CDTF">2022-03-28T16:52:02Z</dcterms:modified>
</cp:coreProperties>
</file>