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ustomProperty1.bin" ContentType="application/vnd.openxmlformats-officedocument.spreadsheetml.customProperty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Angela Grismer\TN State - Plough.Peterson\Invoices\FY23\"/>
    </mc:Choice>
  </mc:AlternateContent>
  <xr:revisionPtr revIDLastSave="0" documentId="13_ncr:1_{1193E591-E36C-4C9C-9EC6-F8B265923BB1}" xr6:coauthVersionLast="47" xr6:coauthVersionMax="47" xr10:uidLastSave="{00000000-0000-0000-0000-000000000000}"/>
  <bookViews>
    <workbookView xWindow="-46188" yWindow="-96" windowWidth="23256" windowHeight="12576" tabRatio="588" firstSheet="7" activeTab="7" xr2:uid="{00000000-000D-0000-FFFF-FFFF00000000}"/>
  </bookViews>
  <sheets>
    <sheet name="ERF entry" sheetId="67" state="hidden" r:id="rId1"/>
    <sheet name="Week 1" sheetId="60" state="hidden" r:id="rId2"/>
    <sheet name="Week 2" sheetId="61" state="hidden" r:id="rId3"/>
    <sheet name="Week 3" sheetId="62" state="hidden" r:id="rId4"/>
    <sheet name="Week 4" sheetId="63" state="hidden" r:id="rId5"/>
    <sheet name="Week 5" sheetId="64" state="hidden" r:id="rId6"/>
    <sheet name="Week 6" sheetId="65" state="hidden" r:id="rId7"/>
    <sheet name="DOC Invoice" sheetId="1" r:id="rId8"/>
    <sheet name="Kosher Summary" sheetId="28" state="hidden" r:id="rId9"/>
    <sheet name="Bledsoe" sheetId="2" r:id="rId10"/>
    <sheet name="Northeast Carter Co Annex" sheetId="51" state="hidden" r:id="rId11"/>
    <sheet name="Luttrell" sheetId="52" r:id="rId12"/>
    <sheet name="Northwest" sheetId="50" r:id="rId13"/>
    <sheet name="Turney Annex" sheetId="48" r:id="rId14"/>
    <sheet name="TN Corrections Academy" sheetId="49" r:id="rId15"/>
    <sheet name="West TN State" sheetId="47" r:id="rId16"/>
    <sheet name="DeBerry" sheetId="45" r:id="rId17"/>
    <sheet name="Morgan" sheetId="53" r:id="rId18"/>
    <sheet name="Northeast" sheetId="44" r:id="rId19"/>
    <sheet name="Northeast Carter" sheetId="74" state="hidden" r:id="rId20"/>
    <sheet name="Riverbend" sheetId="43" r:id="rId21"/>
    <sheet name="D Johnson Rehab Ctr" sheetId="42" r:id="rId22"/>
    <sheet name="Turney" sheetId="41" r:id="rId23"/>
    <sheet name="WTRC" sheetId="86" state="hidden" r:id="rId24"/>
    <sheet name="Inv Usage Credits" sheetId="71" r:id="rId25"/>
    <sheet name="Northwest Inv Usage" sheetId="76" r:id="rId26"/>
    <sheet name="Facility Requested Meals + Bulk" sheetId="70" r:id="rId27"/>
    <sheet name="August - EE Credits FY23  " sheetId="82" r:id="rId28"/>
    <sheet name="State to ARA Charge Aug FY23" sheetId="84" r:id="rId29"/>
    <sheet name="August - EE OT" sheetId="85" r:id="rId30"/>
    <sheet name="DOTS" sheetId="66" state="hidden" r:id="rId31"/>
  </sheets>
  <definedNames>
    <definedName name="data" localSheetId="29">'August - EE OT'!dates</definedName>
    <definedName name="data" localSheetId="19">'Northeast Carter'!dates</definedName>
    <definedName name="data" localSheetId="1">'Week 1'!dates</definedName>
    <definedName name="data" localSheetId="2">'Week 2'!dates</definedName>
    <definedName name="data" localSheetId="3">'Week 3'!dates</definedName>
    <definedName name="data" localSheetId="4">'Week 4'!dates</definedName>
    <definedName name="data" localSheetId="5">'Week 5'!dates</definedName>
    <definedName name="data" localSheetId="6">'Week 6'!dates</definedName>
    <definedName name="data">dates</definedName>
    <definedName name="dates" localSheetId="29">#REF!</definedName>
    <definedName name="dates" localSheetId="19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 localSheetId="6">#REF!</definedName>
    <definedName name="dates">#REF!</definedName>
    <definedName name="fiscal" localSheetId="29">#REF!</definedName>
    <definedName name="fiscal" localSheetId="19">#REF!</definedName>
    <definedName name="fiscal" localSheetId="1">#REF!</definedName>
    <definedName name="fiscal" localSheetId="2">#REF!</definedName>
    <definedName name="fiscal" localSheetId="3">#REF!</definedName>
    <definedName name="fiscal" localSheetId="4">#REF!</definedName>
    <definedName name="fiscal" localSheetId="5">#REF!</definedName>
    <definedName name="fiscal" localSheetId="6">#REF!</definedName>
    <definedName name="fiscal">#REF!</definedName>
    <definedName name="Months" localSheetId="29">#REF!</definedName>
    <definedName name="Months" localSheetId="19">#REF!</definedName>
    <definedName name="Months" localSheetId="1">#REF!</definedName>
    <definedName name="Months" localSheetId="2">#REF!</definedName>
    <definedName name="Months" localSheetId="3">#REF!</definedName>
    <definedName name="Months" localSheetId="4">#REF!</definedName>
    <definedName name="Months" localSheetId="5">#REF!</definedName>
    <definedName name="Months" localSheetId="6">#REF!</definedName>
    <definedName name="Months">#REF!</definedName>
    <definedName name="ot">#REF!</definedName>
    <definedName name="_xlnm.Print_Area" localSheetId="9">Bledsoe!$A$1:$K$59</definedName>
    <definedName name="_xlnm.Print_Area" localSheetId="21">'D Johnson Rehab Ctr'!$A$1:$K$59</definedName>
    <definedName name="_xlnm.Print_Area" localSheetId="16">DeBerry!$A$1:$K$59</definedName>
    <definedName name="_xlnm.Print_Area" localSheetId="7">'DOC Invoice'!$B$1:$J$58</definedName>
    <definedName name="_xlnm.Print_Area" localSheetId="26">'Facility Requested Meals + Bulk'!$A$1:$R$176</definedName>
    <definedName name="_xlnm.Print_Area" localSheetId="8">'Kosher Summary'!$A$1:$AD$50</definedName>
    <definedName name="_xlnm.Print_Area" localSheetId="11">Luttrell!$A$1:$K$59</definedName>
    <definedName name="_xlnm.Print_Area" localSheetId="17">Morgan!$A$1:$K$59</definedName>
    <definedName name="_xlnm.Print_Area" localSheetId="18">Northeast!$A$1:$K$59</definedName>
    <definedName name="_xlnm.Print_Area" localSheetId="19">'Northeast Carter'!$A$1:$K$59</definedName>
    <definedName name="_xlnm.Print_Area" localSheetId="10">'Northeast Carter Co Annex'!$A$1:$I$60</definedName>
    <definedName name="_xlnm.Print_Area" localSheetId="12">Northwest!$A$1:$K$59</definedName>
    <definedName name="_xlnm.Print_Area" localSheetId="20">Riverbend!$A$1:$K$59</definedName>
    <definedName name="_xlnm.Print_Area" localSheetId="14">'TN Corrections Academy'!$A$1:$K$59</definedName>
    <definedName name="_xlnm.Print_Area" localSheetId="22">Turney!$A$1:$K$59</definedName>
    <definedName name="_xlnm.Print_Area" localSheetId="13">'Turney Annex'!$A$1:$K$59</definedName>
    <definedName name="_xlnm.Print_Area" localSheetId="1">'Week 1'!$A$1:$I$37</definedName>
    <definedName name="_xlnm.Print_Area" localSheetId="2">'Week 2'!$A$1:$I$37</definedName>
    <definedName name="_xlnm.Print_Area" localSheetId="3">'Week 3'!$A$1:$I$37</definedName>
    <definedName name="_xlnm.Print_Area" localSheetId="4">'Week 4'!$A$1:$I$37</definedName>
    <definedName name="_xlnm.Print_Area" localSheetId="5">'Week 5'!$A$1:$I$37</definedName>
    <definedName name="_xlnm.Print_Area" localSheetId="6">'Week 6'!$A$1:$I$37</definedName>
    <definedName name="_xlnm.Print_Area" localSheetId="15">'West TN State'!$A$1:$K$59</definedName>
    <definedName name="_xlnm.Print_Area" localSheetId="23">WTRC!$A$1:$K$59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CP93" i="84" l="1"/>
  <c r="CP92" i="84"/>
  <c r="CP91" i="84"/>
  <c r="CP90" i="84"/>
  <c r="CP89" i="84"/>
  <c r="CP88" i="84"/>
  <c r="CP87" i="84"/>
  <c r="CP86" i="84"/>
  <c r="CP85" i="84"/>
  <c r="CP84" i="84"/>
  <c r="CP83" i="84"/>
  <c r="CP82" i="84"/>
  <c r="CP94" i="84" s="1"/>
  <c r="CP71" i="84"/>
  <c r="K41" i="41"/>
  <c r="K40" i="41"/>
  <c r="K39" i="41"/>
  <c r="K38" i="41"/>
  <c r="K37" i="41"/>
  <c r="K36" i="41"/>
  <c r="K35" i="41"/>
  <c r="K34" i="41"/>
  <c r="K33" i="41"/>
  <c r="K32" i="41"/>
  <c r="K31" i="41"/>
  <c r="K30" i="41"/>
  <c r="K29" i="41"/>
  <c r="K28" i="41"/>
  <c r="K27" i="41"/>
  <c r="K26" i="41"/>
  <c r="K25" i="41"/>
  <c r="K24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41" i="53"/>
  <c r="K40" i="53"/>
  <c r="K39" i="53"/>
  <c r="K38" i="53"/>
  <c r="K37" i="53"/>
  <c r="K36" i="53"/>
  <c r="K35" i="53"/>
  <c r="K34" i="53"/>
  <c r="K33" i="53"/>
  <c r="K32" i="53"/>
  <c r="K31" i="53"/>
  <c r="K30" i="53"/>
  <c r="K29" i="53"/>
  <c r="K28" i="53"/>
  <c r="K27" i="53"/>
  <c r="K26" i="53"/>
  <c r="K25" i="53"/>
  <c r="K24" i="53"/>
  <c r="K23" i="53"/>
  <c r="K22" i="53"/>
  <c r="K21" i="53"/>
  <c r="K20" i="53"/>
  <c r="K19" i="53"/>
  <c r="K18" i="53"/>
  <c r="K17" i="53"/>
  <c r="K16" i="53"/>
  <c r="K15" i="53"/>
  <c r="K14" i="53"/>
  <c r="K13" i="53"/>
  <c r="K12" i="53"/>
  <c r="K11" i="53"/>
  <c r="K41" i="45"/>
  <c r="K40" i="45"/>
  <c r="K39" i="45"/>
  <c r="K38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41" i="47"/>
  <c r="K40" i="47"/>
  <c r="K39" i="47"/>
  <c r="K38" i="47"/>
  <c r="K37" i="47"/>
  <c r="K36" i="47"/>
  <c r="K35" i="47"/>
  <c r="K34" i="47"/>
  <c r="K33" i="47"/>
  <c r="K32" i="47"/>
  <c r="K31" i="47"/>
  <c r="K30" i="47"/>
  <c r="K29" i="47"/>
  <c r="K28" i="47"/>
  <c r="K27" i="47"/>
  <c r="K26" i="47"/>
  <c r="K25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41" i="49"/>
  <c r="K40" i="49"/>
  <c r="K39" i="49"/>
  <c r="K38" i="49"/>
  <c r="K37" i="49"/>
  <c r="K36" i="49"/>
  <c r="K35" i="49"/>
  <c r="K34" i="49"/>
  <c r="K33" i="49"/>
  <c r="K32" i="49"/>
  <c r="K31" i="49"/>
  <c r="K30" i="49"/>
  <c r="K29" i="49"/>
  <c r="K28" i="49"/>
  <c r="K27" i="49"/>
  <c r="K26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41" i="48"/>
  <c r="K40" i="48"/>
  <c r="K39" i="48"/>
  <c r="K38" i="48"/>
  <c r="K37" i="48"/>
  <c r="K36" i="48"/>
  <c r="K35" i="48"/>
  <c r="K34" i="48"/>
  <c r="K33" i="48"/>
  <c r="K32" i="48"/>
  <c r="K31" i="48"/>
  <c r="K3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41" i="52"/>
  <c r="K40" i="52"/>
  <c r="K39" i="52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13" i="52"/>
  <c r="K12" i="52"/>
  <c r="K11" i="5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11" i="2"/>
  <c r="J33" i="1"/>
  <c r="J36" i="1"/>
  <c r="CO93" i="84" l="1"/>
  <c r="CO92" i="84"/>
  <c r="CO91" i="84"/>
  <c r="CO90" i="84"/>
  <c r="CO89" i="84"/>
  <c r="CO88" i="84"/>
  <c r="CO87" i="84"/>
  <c r="CO86" i="84"/>
  <c r="CO85" i="84"/>
  <c r="CO84" i="84"/>
  <c r="CO83" i="84"/>
  <c r="CO82" i="84"/>
  <c r="CO71" i="84"/>
  <c r="CN93" i="84"/>
  <c r="CN92" i="84"/>
  <c r="CN91" i="84"/>
  <c r="CN90" i="84"/>
  <c r="CN89" i="84"/>
  <c r="CN88" i="84"/>
  <c r="CN87" i="84"/>
  <c r="CN86" i="84"/>
  <c r="CN85" i="84"/>
  <c r="CN84" i="84"/>
  <c r="CN83" i="84"/>
  <c r="CN82" i="84"/>
  <c r="CN71" i="84"/>
  <c r="CM93" i="84"/>
  <c r="CM92" i="84"/>
  <c r="CM91" i="84"/>
  <c r="CM90" i="84"/>
  <c r="CM89" i="84"/>
  <c r="CM88" i="84"/>
  <c r="CM87" i="84"/>
  <c r="CM86" i="84"/>
  <c r="CM85" i="84"/>
  <c r="CM84" i="84"/>
  <c r="CM83" i="84"/>
  <c r="CM82" i="84"/>
  <c r="CM71" i="84"/>
  <c r="CO94" i="84" l="1"/>
  <c r="CN94" i="84"/>
  <c r="CM94" i="84"/>
  <c r="Q73" i="70"/>
  <c r="CL93" i="84" l="1"/>
  <c r="CL92" i="84"/>
  <c r="CL91" i="84"/>
  <c r="CL90" i="84"/>
  <c r="CL89" i="84"/>
  <c r="CL88" i="84"/>
  <c r="CL87" i="84"/>
  <c r="CL86" i="84"/>
  <c r="CL85" i="84"/>
  <c r="CL84" i="84"/>
  <c r="CL83" i="84"/>
  <c r="CL82" i="84"/>
  <c r="CL71" i="84"/>
  <c r="Q28" i="70"/>
  <c r="K42" i="41"/>
  <c r="K42" i="42"/>
  <c r="K42" i="43"/>
  <c r="K42" i="44"/>
  <c r="K42" i="53"/>
  <c r="K42" i="45"/>
  <c r="K42" i="47"/>
  <c r="K42" i="49"/>
  <c r="K42" i="52"/>
  <c r="CL94" i="84" l="1"/>
  <c r="CK93" i="84"/>
  <c r="CK92" i="84"/>
  <c r="K50" i="48" s="1"/>
  <c r="CK91" i="84"/>
  <c r="K50" i="41" s="1"/>
  <c r="CK90" i="84"/>
  <c r="CK89" i="84"/>
  <c r="CK88" i="84"/>
  <c r="K50" i="43" s="1"/>
  <c r="CK87" i="84"/>
  <c r="K50" i="50" s="1"/>
  <c r="CK86" i="84"/>
  <c r="K50" i="44" s="1"/>
  <c r="CK85" i="84"/>
  <c r="K50" i="53" s="1"/>
  <c r="CK84" i="84"/>
  <c r="K50" i="52" s="1"/>
  <c r="CK83" i="84"/>
  <c r="K50" i="45" s="1"/>
  <c r="CK82" i="84"/>
  <c r="CK71" i="84"/>
  <c r="CK94" i="84" l="1"/>
  <c r="K50" i="2"/>
  <c r="CJ93" i="84"/>
  <c r="CJ90" i="84"/>
  <c r="CJ89" i="84"/>
  <c r="CJ86" i="84"/>
  <c r="K52" i="50" l="1"/>
  <c r="M22" i="71"/>
  <c r="CI93" i="84" l="1"/>
  <c r="CI90" i="84"/>
  <c r="CI89" i="84"/>
  <c r="CI86" i="84"/>
  <c r="J48" i="1"/>
  <c r="CH93" i="84" l="1"/>
  <c r="CH90" i="84"/>
  <c r="CH89" i="84"/>
  <c r="CH86" i="84"/>
  <c r="CG93" i="84"/>
  <c r="CG90" i="84"/>
  <c r="CG89" i="84"/>
  <c r="CG86" i="84"/>
  <c r="CF93" i="84"/>
  <c r="CF90" i="84"/>
  <c r="CF89" i="84"/>
  <c r="CF86" i="84"/>
  <c r="K4" i="82"/>
  <c r="C8" i="2"/>
  <c r="H4" i="84"/>
  <c r="I4" i="84" s="1"/>
  <c r="H11" i="84"/>
  <c r="I11" i="84" s="1"/>
  <c r="J11" i="84" s="1"/>
  <c r="H53" i="84"/>
  <c r="I53" i="84" s="1"/>
  <c r="H28" i="84"/>
  <c r="I28" i="84" s="1"/>
  <c r="H15" i="84"/>
  <c r="I15" i="84" s="1"/>
  <c r="J15" i="84" s="1"/>
  <c r="K15" i="84" s="1"/>
  <c r="H16" i="84"/>
  <c r="I16" i="84" s="1"/>
  <c r="H18" i="84"/>
  <c r="I18" i="84" s="1"/>
  <c r="H22" i="84"/>
  <c r="I22" i="84" s="1"/>
  <c r="H25" i="84"/>
  <c r="I25" i="84" s="1"/>
  <c r="J25" i="84" s="1"/>
  <c r="H27" i="84"/>
  <c r="I27" i="84" s="1"/>
  <c r="H42" i="84"/>
  <c r="I42" i="84" s="1"/>
  <c r="H44" i="84"/>
  <c r="I44" i="84" s="1"/>
  <c r="H45" i="84"/>
  <c r="I45" i="84" s="1"/>
  <c r="J45" i="84" s="1"/>
  <c r="K45" i="84" s="1"/>
  <c r="P45" i="84" s="1"/>
  <c r="U45" i="84" s="1"/>
  <c r="H46" i="84"/>
  <c r="I46" i="84" s="1"/>
  <c r="H48" i="84"/>
  <c r="I48" i="84" s="1"/>
  <c r="J48" i="84" s="1"/>
  <c r="K48" i="84" s="1"/>
  <c r="H52" i="84"/>
  <c r="I52" i="84" s="1"/>
  <c r="J52" i="84" s="1"/>
  <c r="H55" i="84"/>
  <c r="I55" i="84" s="1"/>
  <c r="J55" i="84" s="1"/>
  <c r="H59" i="84"/>
  <c r="I59" i="84" s="1"/>
  <c r="J59" i="84" s="1"/>
  <c r="H64" i="84"/>
  <c r="I64" i="84" s="1"/>
  <c r="J64" i="84" s="1"/>
  <c r="CE86" i="84"/>
  <c r="CE89" i="84"/>
  <c r="CE90" i="84"/>
  <c r="CE93" i="84"/>
  <c r="F8" i="82"/>
  <c r="G8" i="82" s="1"/>
  <c r="F9" i="82"/>
  <c r="G9" i="82" s="1"/>
  <c r="F10" i="82"/>
  <c r="G10" i="82" s="1"/>
  <c r="F11" i="82"/>
  <c r="G11" i="82" s="1"/>
  <c r="I6" i="82"/>
  <c r="J6" i="82"/>
  <c r="K6" i="82"/>
  <c r="CD93" i="84"/>
  <c r="CD90" i="84"/>
  <c r="CD89" i="84"/>
  <c r="H12" i="84"/>
  <c r="I12" i="84" s="1"/>
  <c r="CD86" i="84"/>
  <c r="D57" i="86"/>
  <c r="C36" i="1"/>
  <c r="E57" i="86"/>
  <c r="D36" i="1"/>
  <c r="F57" i="86"/>
  <c r="E36" i="1"/>
  <c r="G57" i="86"/>
  <c r="F36" i="1"/>
  <c r="H57" i="86"/>
  <c r="G36" i="1"/>
  <c r="I57" i="86"/>
  <c r="H36" i="1"/>
  <c r="D57" i="74"/>
  <c r="C33" i="1"/>
  <c r="E57" i="74"/>
  <c r="D33" i="1"/>
  <c r="F57" i="74"/>
  <c r="E33" i="1"/>
  <c r="G57" i="74"/>
  <c r="F33" i="1"/>
  <c r="H57" i="74"/>
  <c r="G33" i="1"/>
  <c r="I57" i="74"/>
  <c r="H33" i="1"/>
  <c r="CC93" i="84"/>
  <c r="CC90" i="84"/>
  <c r="CC89" i="84"/>
  <c r="CC86" i="84"/>
  <c r="CB93" i="84"/>
  <c r="CB90" i="84"/>
  <c r="CB89" i="84"/>
  <c r="CB86" i="84"/>
  <c r="K7" i="82"/>
  <c r="I4" i="82"/>
  <c r="J4" i="82"/>
  <c r="F4" i="82"/>
  <c r="CA93" i="84"/>
  <c r="CA90" i="84"/>
  <c r="CA89" i="84"/>
  <c r="BZ93" i="84"/>
  <c r="BZ90" i="84"/>
  <c r="BZ89" i="84"/>
  <c r="BY93" i="84"/>
  <c r="BX93" i="84"/>
  <c r="BW93" i="84"/>
  <c r="BV93" i="84"/>
  <c r="BU93" i="84"/>
  <c r="BT93" i="84"/>
  <c r="BS93" i="84"/>
  <c r="BR93" i="84"/>
  <c r="BQ93" i="84"/>
  <c r="BP93" i="84"/>
  <c r="BY90" i="84"/>
  <c r="BX90" i="84"/>
  <c r="BW90" i="84"/>
  <c r="BV90" i="84"/>
  <c r="BU90" i="84"/>
  <c r="BT90" i="84"/>
  <c r="BS90" i="84"/>
  <c r="BR90" i="84"/>
  <c r="BQ90" i="84"/>
  <c r="BP90" i="84"/>
  <c r="BY89" i="84"/>
  <c r="BX89" i="84"/>
  <c r="BW89" i="84"/>
  <c r="BV89" i="84"/>
  <c r="BU89" i="84"/>
  <c r="BT89" i="84"/>
  <c r="BS89" i="84"/>
  <c r="BR89" i="84"/>
  <c r="BQ89" i="84"/>
  <c r="BP89" i="84"/>
  <c r="F7" i="82"/>
  <c r="G7" i="82" s="1"/>
  <c r="G3" i="85"/>
  <c r="H3" i="85"/>
  <c r="I3" i="85"/>
  <c r="G4" i="85"/>
  <c r="H4" i="85"/>
  <c r="I4" i="85"/>
  <c r="M5" i="85"/>
  <c r="K49" i="45" s="1"/>
  <c r="D57" i="2"/>
  <c r="C24" i="1" s="1"/>
  <c r="J38" i="49"/>
  <c r="J39" i="49"/>
  <c r="J40" i="49"/>
  <c r="J41" i="49"/>
  <c r="AO94" i="70"/>
  <c r="K42" i="2"/>
  <c r="K42" i="50"/>
  <c r="K42" i="48"/>
  <c r="K59" i="70"/>
  <c r="K141" i="70"/>
  <c r="BS101" i="70"/>
  <c r="BM50" i="70"/>
  <c r="J11" i="42"/>
  <c r="J12" i="42"/>
  <c r="J13" i="42"/>
  <c r="J14" i="42"/>
  <c r="J15" i="42"/>
  <c r="J16" i="42"/>
  <c r="J17" i="42"/>
  <c r="J18" i="42"/>
  <c r="J19" i="42"/>
  <c r="J20" i="42"/>
  <c r="J21" i="42"/>
  <c r="J22" i="42"/>
  <c r="J23" i="42"/>
  <c r="J24" i="42"/>
  <c r="J25" i="42"/>
  <c r="J26" i="42"/>
  <c r="J27" i="42"/>
  <c r="J28" i="42"/>
  <c r="J29" i="42"/>
  <c r="J30" i="42"/>
  <c r="J31" i="42"/>
  <c r="J32" i="42"/>
  <c r="J33" i="42"/>
  <c r="J34" i="42"/>
  <c r="J35" i="42"/>
  <c r="J36" i="42"/>
  <c r="J37" i="42"/>
  <c r="J38" i="42"/>
  <c r="J39" i="42"/>
  <c r="J40" i="42"/>
  <c r="J41" i="42"/>
  <c r="BO93" i="84"/>
  <c r="BO90" i="84"/>
  <c r="BO89" i="84"/>
  <c r="BN93" i="84"/>
  <c r="BN90" i="84"/>
  <c r="BN89" i="84"/>
  <c r="BM93" i="84"/>
  <c r="BM90" i="84"/>
  <c r="BM89" i="84"/>
  <c r="BL93" i="84"/>
  <c r="BL90" i="84"/>
  <c r="BL89" i="84"/>
  <c r="BK93" i="84"/>
  <c r="BK90" i="84"/>
  <c r="BK89" i="84"/>
  <c r="BJ93" i="84"/>
  <c r="BJ90" i="84"/>
  <c r="BJ89" i="84"/>
  <c r="BI93" i="84"/>
  <c r="BI90" i="84"/>
  <c r="BI89" i="84"/>
  <c r="BH93" i="84"/>
  <c r="BH90" i="84"/>
  <c r="BH89" i="84"/>
  <c r="BG93" i="84"/>
  <c r="BG90" i="84"/>
  <c r="BG89" i="84"/>
  <c r="BF93" i="84"/>
  <c r="BF90" i="84"/>
  <c r="BF89" i="84"/>
  <c r="BE93" i="84"/>
  <c r="BE90" i="84"/>
  <c r="BE89" i="84"/>
  <c r="BD93" i="84"/>
  <c r="BD90" i="84"/>
  <c r="BD89" i="84"/>
  <c r="BC93" i="84"/>
  <c r="BC90" i="84"/>
  <c r="BC89" i="84"/>
  <c r="BB93" i="84"/>
  <c r="BB90" i="84"/>
  <c r="BB89" i="84"/>
  <c r="BA93" i="84"/>
  <c r="BA90" i="84"/>
  <c r="BA89" i="84"/>
  <c r="AZ93" i="84"/>
  <c r="AZ90" i="84"/>
  <c r="AZ89" i="84"/>
  <c r="AY93" i="84"/>
  <c r="AY90" i="84"/>
  <c r="AY89" i="84"/>
  <c r="AX93" i="84"/>
  <c r="AX90" i="84"/>
  <c r="AX89" i="84"/>
  <c r="AW93" i="84"/>
  <c r="AW90" i="84"/>
  <c r="AW89" i="84"/>
  <c r="K57" i="71"/>
  <c r="I57" i="71"/>
  <c r="M57" i="71"/>
  <c r="O57" i="71"/>
  <c r="Q57" i="71"/>
  <c r="K60" i="71"/>
  <c r="I60" i="71"/>
  <c r="M60" i="71"/>
  <c r="O60" i="71"/>
  <c r="Q60" i="71"/>
  <c r="K59" i="71"/>
  <c r="I59" i="71"/>
  <c r="M59" i="71"/>
  <c r="O59" i="71"/>
  <c r="Q59" i="71"/>
  <c r="K58" i="71"/>
  <c r="I58" i="71"/>
  <c r="M58" i="71"/>
  <c r="O58" i="71"/>
  <c r="Q58" i="71"/>
  <c r="CE101" i="70"/>
  <c r="K44" i="86" s="1"/>
  <c r="CE84" i="70"/>
  <c r="CE67" i="70"/>
  <c r="CE50" i="70"/>
  <c r="CE33" i="70"/>
  <c r="CE16" i="70"/>
  <c r="Q165" i="70"/>
  <c r="BM84" i="70"/>
  <c r="AC23" i="70"/>
  <c r="K41" i="86"/>
  <c r="J41" i="86"/>
  <c r="K40" i="86"/>
  <c r="J40" i="86"/>
  <c r="K39" i="86"/>
  <c r="J39" i="86"/>
  <c r="K38" i="86"/>
  <c r="J38" i="86"/>
  <c r="K37" i="86"/>
  <c r="J37" i="86"/>
  <c r="K36" i="86"/>
  <c r="J36" i="86"/>
  <c r="K35" i="86"/>
  <c r="J35" i="86"/>
  <c r="K34" i="86"/>
  <c r="J34" i="86"/>
  <c r="K33" i="86"/>
  <c r="J33" i="86"/>
  <c r="K32" i="86"/>
  <c r="J32" i="86"/>
  <c r="K31" i="86"/>
  <c r="J31" i="86"/>
  <c r="K30" i="86"/>
  <c r="J30" i="86"/>
  <c r="K29" i="86"/>
  <c r="J29" i="86"/>
  <c r="K28" i="86"/>
  <c r="J28" i="86"/>
  <c r="K27" i="86"/>
  <c r="J27" i="86"/>
  <c r="K26" i="86"/>
  <c r="J26" i="86"/>
  <c r="K25" i="86"/>
  <c r="J25" i="86"/>
  <c r="K24" i="86"/>
  <c r="J24" i="86"/>
  <c r="K23" i="86"/>
  <c r="J23" i="86"/>
  <c r="K22" i="86"/>
  <c r="J22" i="86"/>
  <c r="K21" i="86"/>
  <c r="J21" i="86"/>
  <c r="K20" i="86"/>
  <c r="J20" i="86"/>
  <c r="K19" i="86"/>
  <c r="J19" i="86"/>
  <c r="K18" i="86"/>
  <c r="J18" i="86"/>
  <c r="K17" i="86"/>
  <c r="J17" i="86"/>
  <c r="K16" i="86"/>
  <c r="J16" i="86"/>
  <c r="K15" i="86"/>
  <c r="J15" i="86"/>
  <c r="K14" i="86"/>
  <c r="J14" i="86"/>
  <c r="K13" i="86"/>
  <c r="J13" i="86"/>
  <c r="K12" i="86"/>
  <c r="J12" i="86"/>
  <c r="K11" i="86"/>
  <c r="J11" i="86"/>
  <c r="C8" i="86"/>
  <c r="C7" i="86"/>
  <c r="C11" i="86" s="1"/>
  <c r="C6" i="86"/>
  <c r="J57" i="86"/>
  <c r="I36" i="1"/>
  <c r="K57" i="86"/>
  <c r="K24" i="71"/>
  <c r="I24" i="71"/>
  <c r="M24" i="71"/>
  <c r="Q24" i="71"/>
  <c r="I23" i="71"/>
  <c r="K23" i="71"/>
  <c r="M23" i="71"/>
  <c r="Q23" i="71"/>
  <c r="BM67" i="70"/>
  <c r="J42" i="1"/>
  <c r="K41" i="74"/>
  <c r="K40" i="74"/>
  <c r="K39" i="74"/>
  <c r="K38" i="74"/>
  <c r="K37" i="74"/>
  <c r="K36" i="74"/>
  <c r="K35" i="74"/>
  <c r="K34" i="74"/>
  <c r="K33" i="74"/>
  <c r="K32" i="74"/>
  <c r="K31" i="74"/>
  <c r="K30" i="74"/>
  <c r="K29" i="74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Q18" i="71"/>
  <c r="O18" i="71"/>
  <c r="M18" i="71"/>
  <c r="K18" i="71"/>
  <c r="I18" i="71"/>
  <c r="I57" i="41"/>
  <c r="H37" i="1" s="1"/>
  <c r="H57" i="41"/>
  <c r="G37" i="1" s="1"/>
  <c r="G57" i="41"/>
  <c r="F37" i="1" s="1"/>
  <c r="F57" i="41"/>
  <c r="E37" i="1" s="1"/>
  <c r="E57" i="41"/>
  <c r="D37" i="1" s="1"/>
  <c r="D57" i="41"/>
  <c r="I57" i="42"/>
  <c r="H57" i="42"/>
  <c r="G35" i="1" s="1"/>
  <c r="G57" i="42"/>
  <c r="F57" i="42"/>
  <c r="E35" i="1" s="1"/>
  <c r="E57" i="42"/>
  <c r="D35" i="1" s="1"/>
  <c r="D57" i="42"/>
  <c r="I57" i="43"/>
  <c r="H34" i="1" s="1"/>
  <c r="H57" i="43"/>
  <c r="G34" i="1" s="1"/>
  <c r="G57" i="43"/>
  <c r="F34" i="1" s="1"/>
  <c r="F57" i="43"/>
  <c r="E34" i="1" s="1"/>
  <c r="E57" i="43"/>
  <c r="D57" i="43"/>
  <c r="I57" i="44"/>
  <c r="H32" i="1" s="1"/>
  <c r="H57" i="44"/>
  <c r="G32" i="1" s="1"/>
  <c r="G57" i="44"/>
  <c r="F32" i="1" s="1"/>
  <c r="F57" i="44"/>
  <c r="E32" i="1" s="1"/>
  <c r="E57" i="44"/>
  <c r="D32" i="1" s="1"/>
  <c r="D57" i="44"/>
  <c r="I57" i="53"/>
  <c r="H31" i="1" s="1"/>
  <c r="H57" i="53"/>
  <c r="G57" i="53"/>
  <c r="F31" i="1" s="1"/>
  <c r="F57" i="53"/>
  <c r="E31" i="1" s="1"/>
  <c r="E57" i="53"/>
  <c r="D31" i="1" s="1"/>
  <c r="D57" i="53"/>
  <c r="I57" i="45"/>
  <c r="H30" i="1" s="1"/>
  <c r="H57" i="45"/>
  <c r="G30" i="1" s="1"/>
  <c r="G57" i="45"/>
  <c r="F30" i="1" s="1"/>
  <c r="F57" i="45"/>
  <c r="E30" i="1" s="1"/>
  <c r="E57" i="45"/>
  <c r="D57" i="45"/>
  <c r="I57" i="47"/>
  <c r="H29" i="1" s="1"/>
  <c r="H57" i="47"/>
  <c r="G29" i="1" s="1"/>
  <c r="G57" i="47"/>
  <c r="F29" i="1" s="1"/>
  <c r="F57" i="47"/>
  <c r="E29" i="1" s="1"/>
  <c r="E57" i="47"/>
  <c r="D29" i="1" s="1"/>
  <c r="D57" i="47"/>
  <c r="I57" i="49"/>
  <c r="H27" i="1"/>
  <c r="H57" i="49"/>
  <c r="G27" i="1" s="1"/>
  <c r="G57" i="49"/>
  <c r="F57" i="49"/>
  <c r="E27" i="1" s="1"/>
  <c r="E57" i="49"/>
  <c r="D27" i="1" s="1"/>
  <c r="D57" i="49"/>
  <c r="I57" i="48"/>
  <c r="H28" i="1" s="1"/>
  <c r="H57" i="48"/>
  <c r="G28" i="1" s="1"/>
  <c r="G57" i="48"/>
  <c r="F57" i="48"/>
  <c r="E57" i="48"/>
  <c r="D28" i="1" s="1"/>
  <c r="D57" i="48"/>
  <c r="I57" i="50"/>
  <c r="H26" i="1" s="1"/>
  <c r="H57" i="50"/>
  <c r="G26" i="1" s="1"/>
  <c r="G57" i="50"/>
  <c r="F57" i="50"/>
  <c r="E26" i="1" s="1"/>
  <c r="E57" i="50"/>
  <c r="D26" i="1" s="1"/>
  <c r="D57" i="50"/>
  <c r="I56" i="52"/>
  <c r="H56" i="52"/>
  <c r="G56" i="52"/>
  <c r="F56" i="52"/>
  <c r="E56" i="52"/>
  <c r="D56" i="52"/>
  <c r="I57" i="52"/>
  <c r="H25" i="1" s="1"/>
  <c r="H57" i="52"/>
  <c r="G25" i="1" s="1"/>
  <c r="G57" i="52"/>
  <c r="F25" i="1" s="1"/>
  <c r="F57" i="52"/>
  <c r="E25" i="1" s="1"/>
  <c r="E57" i="52"/>
  <c r="D25" i="1" s="1"/>
  <c r="D57" i="52"/>
  <c r="I57" i="2"/>
  <c r="H24" i="1" s="1"/>
  <c r="H57" i="2"/>
  <c r="G57" i="2"/>
  <c r="F24" i="1" s="1"/>
  <c r="F57" i="2"/>
  <c r="E24" i="1" s="1"/>
  <c r="E57" i="2"/>
  <c r="D24" i="1" s="1"/>
  <c r="K57" i="74"/>
  <c r="BA94" i="70"/>
  <c r="BA83" i="70"/>
  <c r="BA72" i="70"/>
  <c r="BM33" i="70"/>
  <c r="BA28" i="70"/>
  <c r="AO67" i="70"/>
  <c r="A37" i="1"/>
  <c r="H35" i="1"/>
  <c r="E28" i="1"/>
  <c r="BY33" i="70"/>
  <c r="I43" i="71"/>
  <c r="K43" i="71"/>
  <c r="M43" i="71"/>
  <c r="O43" i="71"/>
  <c r="Q43" i="71"/>
  <c r="K54" i="71"/>
  <c r="I54" i="71"/>
  <c r="M54" i="71"/>
  <c r="O54" i="71"/>
  <c r="Q54" i="71"/>
  <c r="I29" i="71"/>
  <c r="K29" i="71"/>
  <c r="M29" i="71"/>
  <c r="O29" i="71"/>
  <c r="Q29" i="71"/>
  <c r="I71" i="71"/>
  <c r="K71" i="71"/>
  <c r="M71" i="71"/>
  <c r="O71" i="71"/>
  <c r="Q71" i="71"/>
  <c r="I27" i="71"/>
  <c r="K27" i="71"/>
  <c r="M27" i="71"/>
  <c r="O27" i="71"/>
  <c r="Q27" i="71"/>
  <c r="Q72" i="71"/>
  <c r="Q70" i="71"/>
  <c r="Q69" i="71"/>
  <c r="Q68" i="71"/>
  <c r="Q67" i="71"/>
  <c r="Q66" i="71"/>
  <c r="Q65" i="71"/>
  <c r="Q64" i="71"/>
  <c r="Q63" i="71"/>
  <c r="Q62" i="71"/>
  <c r="Q61" i="71"/>
  <c r="Q56" i="71"/>
  <c r="Q55" i="71"/>
  <c r="Q53" i="71"/>
  <c r="Q52" i="71"/>
  <c r="Q51" i="71"/>
  <c r="Q50" i="71"/>
  <c r="Q49" i="71"/>
  <c r="Q48" i="71"/>
  <c r="Q47" i="71"/>
  <c r="Q46" i="71"/>
  <c r="Q45" i="71"/>
  <c r="Q44" i="71"/>
  <c r="Q42" i="71"/>
  <c r="Q41" i="71"/>
  <c r="Q40" i="71"/>
  <c r="Q39" i="71"/>
  <c r="Q38" i="71"/>
  <c r="Q37" i="71"/>
  <c r="Q36" i="71"/>
  <c r="Q35" i="71"/>
  <c r="Q34" i="71"/>
  <c r="Q33" i="71"/>
  <c r="Q32" i="71"/>
  <c r="Q31" i="71"/>
  <c r="Q30" i="71"/>
  <c r="Q28" i="71"/>
  <c r="Q26" i="71"/>
  <c r="Q25" i="71"/>
  <c r="Q22" i="71"/>
  <c r="Q21" i="71"/>
  <c r="Q20" i="71"/>
  <c r="Q19" i="71"/>
  <c r="Q17" i="71"/>
  <c r="Q16" i="71"/>
  <c r="Q15" i="71"/>
  <c r="Q14" i="71"/>
  <c r="Q13" i="71"/>
  <c r="Q12" i="71"/>
  <c r="Q11" i="71"/>
  <c r="Q10" i="71"/>
  <c r="Q9" i="71"/>
  <c r="Q8" i="71"/>
  <c r="Q7" i="71"/>
  <c r="Q6" i="71"/>
  <c r="Q5" i="71"/>
  <c r="Q4" i="71"/>
  <c r="Q3" i="71"/>
  <c r="BY84" i="70"/>
  <c r="BY67" i="70"/>
  <c r="BY50" i="70"/>
  <c r="AI137" i="70"/>
  <c r="AI114" i="70"/>
  <c r="AI91" i="70"/>
  <c r="AI68" i="70"/>
  <c r="AI45" i="70"/>
  <c r="Q252" i="70"/>
  <c r="Q240" i="70"/>
  <c r="Q215" i="70"/>
  <c r="Q190" i="70"/>
  <c r="Q64" i="70"/>
  <c r="J41" i="48"/>
  <c r="J40" i="48"/>
  <c r="I65" i="71"/>
  <c r="K65" i="71"/>
  <c r="M65" i="71"/>
  <c r="O65" i="71"/>
  <c r="J16" i="49"/>
  <c r="J15" i="49"/>
  <c r="J14" i="49"/>
  <c r="J13" i="49"/>
  <c r="J12" i="49"/>
  <c r="J11" i="49"/>
  <c r="BS84" i="70"/>
  <c r="M20" i="71"/>
  <c r="I20" i="71"/>
  <c r="K20" i="71"/>
  <c r="O20" i="71"/>
  <c r="M19" i="71"/>
  <c r="I19" i="71"/>
  <c r="K19" i="71"/>
  <c r="O19" i="71"/>
  <c r="I17" i="71"/>
  <c r="K17" i="71"/>
  <c r="M17" i="71"/>
  <c r="O17" i="71"/>
  <c r="J41" i="50"/>
  <c r="J40" i="50"/>
  <c r="J39" i="50"/>
  <c r="J38" i="50"/>
  <c r="J37" i="50"/>
  <c r="J36" i="50"/>
  <c r="J35" i="50"/>
  <c r="J34" i="50"/>
  <c r="J33" i="50"/>
  <c r="J32" i="50"/>
  <c r="J31" i="50"/>
  <c r="J30" i="50"/>
  <c r="J29" i="50"/>
  <c r="J28" i="50"/>
  <c r="J27" i="50"/>
  <c r="J26" i="50"/>
  <c r="J25" i="50"/>
  <c r="J24" i="50"/>
  <c r="J23" i="50"/>
  <c r="J22" i="50"/>
  <c r="J21" i="50"/>
  <c r="J20" i="50"/>
  <c r="J19" i="50"/>
  <c r="J18" i="50"/>
  <c r="J17" i="50"/>
  <c r="J16" i="50"/>
  <c r="J15" i="50"/>
  <c r="J14" i="50"/>
  <c r="J13" i="50"/>
  <c r="J12" i="50"/>
  <c r="J11" i="50"/>
  <c r="I42" i="71"/>
  <c r="K42" i="71"/>
  <c r="M42" i="71"/>
  <c r="O42" i="71"/>
  <c r="I56" i="71"/>
  <c r="K56" i="71"/>
  <c r="M56" i="71"/>
  <c r="O56" i="71"/>
  <c r="BS67" i="70"/>
  <c r="BS50" i="70"/>
  <c r="M49" i="71"/>
  <c r="I49" i="71"/>
  <c r="K49" i="71"/>
  <c r="O49" i="71"/>
  <c r="I70" i="71"/>
  <c r="K70" i="71"/>
  <c r="M70" i="71"/>
  <c r="O70" i="71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11" i="48"/>
  <c r="O26" i="71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36" i="47"/>
  <c r="J37" i="47"/>
  <c r="J38" i="47"/>
  <c r="J39" i="47"/>
  <c r="J40" i="47"/>
  <c r="J41" i="47"/>
  <c r="BG67" i="70"/>
  <c r="I26" i="71"/>
  <c r="K26" i="71"/>
  <c r="M26" i="71"/>
  <c r="K36" i="71"/>
  <c r="I36" i="71"/>
  <c r="M36" i="71"/>
  <c r="O36" i="71"/>
  <c r="K55" i="71"/>
  <c r="I55" i="71"/>
  <c r="M55" i="71"/>
  <c r="O55" i="71"/>
  <c r="K53" i="71"/>
  <c r="I53" i="71"/>
  <c r="M53" i="71"/>
  <c r="O53" i="71"/>
  <c r="I68" i="71"/>
  <c r="K68" i="71"/>
  <c r="M68" i="71"/>
  <c r="O68" i="71"/>
  <c r="K35" i="71"/>
  <c r="I35" i="71"/>
  <c r="M35" i="71"/>
  <c r="O35" i="71"/>
  <c r="I34" i="71"/>
  <c r="K34" i="71"/>
  <c r="M34" i="71"/>
  <c r="O34" i="71"/>
  <c r="I25" i="71"/>
  <c r="K25" i="71"/>
  <c r="M25" i="71"/>
  <c r="O25" i="71"/>
  <c r="BY16" i="70"/>
  <c r="J41" i="53"/>
  <c r="J41" i="52"/>
  <c r="B20" i="1"/>
  <c r="A4" i="67" s="1"/>
  <c r="BG55" i="70"/>
  <c r="BG44" i="70"/>
  <c r="I69" i="71"/>
  <c r="K69" i="71"/>
  <c r="M69" i="71"/>
  <c r="O69" i="71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11" i="2"/>
  <c r="BA61" i="70"/>
  <c r="BA50" i="70"/>
  <c r="BA39" i="70"/>
  <c r="BS33" i="70"/>
  <c r="BS16" i="70"/>
  <c r="Q140" i="70"/>
  <c r="AV93" i="84"/>
  <c r="AV90" i="84"/>
  <c r="AV89" i="84"/>
  <c r="I61" i="71"/>
  <c r="K61" i="71"/>
  <c r="M61" i="71"/>
  <c r="O61" i="71"/>
  <c r="O63" i="71"/>
  <c r="I63" i="71"/>
  <c r="K63" i="71"/>
  <c r="M63" i="71"/>
  <c r="I62" i="71"/>
  <c r="K62" i="71"/>
  <c r="M62" i="71"/>
  <c r="O62" i="71"/>
  <c r="O66" i="71"/>
  <c r="I66" i="71"/>
  <c r="K66" i="71"/>
  <c r="M66" i="71"/>
  <c r="O72" i="71"/>
  <c r="O67" i="71"/>
  <c r="O64" i="71"/>
  <c r="O52" i="71"/>
  <c r="O51" i="71"/>
  <c r="O50" i="71"/>
  <c r="O48" i="71"/>
  <c r="O47" i="71"/>
  <c r="O46" i="71"/>
  <c r="O45" i="71"/>
  <c r="O44" i="71"/>
  <c r="O41" i="71"/>
  <c r="O40" i="71"/>
  <c r="O39" i="71"/>
  <c r="O38" i="71"/>
  <c r="O37" i="71"/>
  <c r="O33" i="71"/>
  <c r="O32" i="71"/>
  <c r="O31" i="71"/>
  <c r="O30" i="71"/>
  <c r="O28" i="71"/>
  <c r="O22" i="71"/>
  <c r="O21" i="71"/>
  <c r="O16" i="71"/>
  <c r="O15" i="71"/>
  <c r="O14" i="71"/>
  <c r="O13" i="71"/>
  <c r="O12" i="71"/>
  <c r="O11" i="71"/>
  <c r="O10" i="71"/>
  <c r="O9" i="71"/>
  <c r="O8" i="71"/>
  <c r="O7" i="71"/>
  <c r="O6" i="71"/>
  <c r="O5" i="71"/>
  <c r="O4" i="71"/>
  <c r="O3" i="71"/>
  <c r="I64" i="71"/>
  <c r="K64" i="71"/>
  <c r="M64" i="71"/>
  <c r="M72" i="71"/>
  <c r="M67" i="71"/>
  <c r="M52" i="71"/>
  <c r="M51" i="71"/>
  <c r="M50" i="71"/>
  <c r="M48" i="71"/>
  <c r="M47" i="71"/>
  <c r="M46" i="71"/>
  <c r="M45" i="71"/>
  <c r="M44" i="71"/>
  <c r="M41" i="71"/>
  <c r="M40" i="71"/>
  <c r="M39" i="71"/>
  <c r="M38" i="71"/>
  <c r="M37" i="71"/>
  <c r="M33" i="71"/>
  <c r="M32" i="71"/>
  <c r="M31" i="71"/>
  <c r="M30" i="71"/>
  <c r="M28" i="71"/>
  <c r="M21" i="71"/>
  <c r="M16" i="71"/>
  <c r="M15" i="71"/>
  <c r="M14" i="71"/>
  <c r="M13" i="71"/>
  <c r="M12" i="71"/>
  <c r="M11" i="71"/>
  <c r="M10" i="71"/>
  <c r="M9" i="71"/>
  <c r="M8" i="71"/>
  <c r="M7" i="71"/>
  <c r="M6" i="71"/>
  <c r="M5" i="71"/>
  <c r="M4" i="71"/>
  <c r="M3" i="71"/>
  <c r="J41" i="41"/>
  <c r="J41" i="43"/>
  <c r="J41" i="74"/>
  <c r="J41" i="44"/>
  <c r="J41" i="45"/>
  <c r="J41" i="2"/>
  <c r="O73" i="71"/>
  <c r="K52" i="47" s="1"/>
  <c r="BM16" i="70"/>
  <c r="AU93" i="84"/>
  <c r="AU90" i="84"/>
  <c r="AU89" i="84"/>
  <c r="AT93" i="84"/>
  <c r="AT90" i="84"/>
  <c r="AT89" i="84"/>
  <c r="AS93" i="84"/>
  <c r="AS90" i="84"/>
  <c r="AS89" i="84"/>
  <c r="Q128" i="70"/>
  <c r="AR93" i="84"/>
  <c r="AR90" i="84"/>
  <c r="AR89" i="84"/>
  <c r="Q40" i="70"/>
  <c r="Q11" i="70"/>
  <c r="AQ93" i="84"/>
  <c r="AQ90" i="84"/>
  <c r="AQ89" i="84"/>
  <c r="Q85" i="70"/>
  <c r="AP93" i="84"/>
  <c r="AP90" i="84"/>
  <c r="AP89" i="84"/>
  <c r="AC116" i="70"/>
  <c r="AO93" i="84"/>
  <c r="AO90" i="84"/>
  <c r="AO89" i="84"/>
  <c r="J40" i="41"/>
  <c r="J39" i="41"/>
  <c r="J40" i="43"/>
  <c r="J39" i="43"/>
  <c r="J40" i="74"/>
  <c r="J39" i="74"/>
  <c r="J40" i="44"/>
  <c r="J39" i="44"/>
  <c r="J40" i="53"/>
  <c r="J39" i="53"/>
  <c r="J40" i="45"/>
  <c r="J39" i="45"/>
  <c r="J40" i="52"/>
  <c r="J39" i="52"/>
  <c r="AN93" i="84"/>
  <c r="AN90" i="84"/>
  <c r="AN89" i="84"/>
  <c r="F20" i="76"/>
  <c r="F19" i="76"/>
  <c r="F18" i="76"/>
  <c r="AU79" i="70"/>
  <c r="AU66" i="70"/>
  <c r="AU40" i="70"/>
  <c r="AM93" i="84"/>
  <c r="AM90" i="84"/>
  <c r="AM89" i="84"/>
  <c r="J38" i="53"/>
  <c r="J37" i="53"/>
  <c r="J36" i="53"/>
  <c r="J35" i="53"/>
  <c r="J34" i="53"/>
  <c r="J33" i="53"/>
  <c r="J32" i="53"/>
  <c r="J31" i="53"/>
  <c r="J30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17" i="53"/>
  <c r="J16" i="53"/>
  <c r="J15" i="53"/>
  <c r="J14" i="53"/>
  <c r="J13" i="53"/>
  <c r="J12" i="53"/>
  <c r="J11" i="53"/>
  <c r="J11" i="45"/>
  <c r="I8" i="85"/>
  <c r="I7" i="85"/>
  <c r="J23" i="45"/>
  <c r="F17" i="76"/>
  <c r="AL93" i="84"/>
  <c r="AL90" i="84"/>
  <c r="AL89" i="84"/>
  <c r="AK93" i="84"/>
  <c r="AK90" i="84"/>
  <c r="AK89" i="84"/>
  <c r="AK50" i="84"/>
  <c r="AM50" i="84" s="1"/>
  <c r="AO50" i="84" s="1"/>
  <c r="AQ50" i="84" s="1"/>
  <c r="AS50" i="84" s="1"/>
  <c r="AU50" i="84" s="1"/>
  <c r="AW50" i="84" s="1"/>
  <c r="AY50" i="84" s="1"/>
  <c r="BA50" i="84" s="1"/>
  <c r="AO81" i="70"/>
  <c r="E178" i="70"/>
  <c r="E154" i="70"/>
  <c r="AC91" i="70"/>
  <c r="E130" i="70"/>
  <c r="AC70" i="70"/>
  <c r="AO40" i="70"/>
  <c r="BG33" i="70"/>
  <c r="BG10" i="70"/>
  <c r="K44" i="53" s="1"/>
  <c r="E13" i="85"/>
  <c r="D13" i="85"/>
  <c r="H12" i="85"/>
  <c r="I12" i="85"/>
  <c r="I13" i="85" s="1"/>
  <c r="M15" i="85"/>
  <c r="K49" i="47" s="1"/>
  <c r="F12" i="85"/>
  <c r="H11" i="85"/>
  <c r="I11" i="85"/>
  <c r="F11" i="85"/>
  <c r="M12" i="85"/>
  <c r="M11" i="85"/>
  <c r="H10" i="85"/>
  <c r="I10" i="85"/>
  <c r="F10" i="85"/>
  <c r="H9" i="85"/>
  <c r="I9" i="85"/>
  <c r="F9" i="85"/>
  <c r="M14" i="85"/>
  <c r="H8" i="85"/>
  <c r="F8" i="85"/>
  <c r="H7" i="85"/>
  <c r="F7" i="85"/>
  <c r="H6" i="85"/>
  <c r="I6" i="85"/>
  <c r="F6" i="85"/>
  <c r="M10" i="85"/>
  <c r="F5" i="85"/>
  <c r="G5" i="85"/>
  <c r="M4" i="85"/>
  <c r="H5" i="85"/>
  <c r="I5" i="85"/>
  <c r="M13" i="85"/>
  <c r="K49" i="48" s="1"/>
  <c r="G13" i="85"/>
  <c r="M9" i="85"/>
  <c r="K49" i="50" s="1"/>
  <c r="M8" i="85"/>
  <c r="K49" i="44" s="1"/>
  <c r="F13" i="85"/>
  <c r="M7" i="85"/>
  <c r="M6" i="85"/>
  <c r="H13" i="85"/>
  <c r="AU28" i="70"/>
  <c r="AI22" i="70"/>
  <c r="K27" i="70"/>
  <c r="E118" i="70"/>
  <c r="E99" i="70"/>
  <c r="M17" i="76"/>
  <c r="AJ50" i="84"/>
  <c r="AL50" i="84" s="1"/>
  <c r="AN50" i="84" s="1"/>
  <c r="AP50" i="84" s="1"/>
  <c r="AR50" i="84" s="1"/>
  <c r="AT50" i="84" s="1"/>
  <c r="AV50" i="84" s="1"/>
  <c r="AX50" i="84" s="1"/>
  <c r="AZ50" i="84" s="1"/>
  <c r="BB50" i="84" s="1"/>
  <c r="AJ93" i="84"/>
  <c r="AJ90" i="84"/>
  <c r="AJ89" i="84"/>
  <c r="K188" i="70"/>
  <c r="K164" i="70"/>
  <c r="AI93" i="84"/>
  <c r="K50" i="47" s="1"/>
  <c r="AH93" i="84"/>
  <c r="AG93" i="84"/>
  <c r="AF93" i="84"/>
  <c r="AE93" i="84"/>
  <c r="AD93" i="84"/>
  <c r="AC93" i="84"/>
  <c r="AI90" i="84"/>
  <c r="K50" i="42" s="1"/>
  <c r="AH90" i="84"/>
  <c r="AG90" i="84"/>
  <c r="AF90" i="84"/>
  <c r="AE90" i="84"/>
  <c r="AD90" i="84"/>
  <c r="AC90" i="84"/>
  <c r="AB90" i="84"/>
  <c r="AA90" i="84"/>
  <c r="Z90" i="84"/>
  <c r="Y90" i="84"/>
  <c r="X90" i="84"/>
  <c r="W90" i="84"/>
  <c r="V90" i="84"/>
  <c r="U90" i="84"/>
  <c r="T90" i="84"/>
  <c r="S90" i="84"/>
  <c r="R90" i="84"/>
  <c r="Q90" i="84"/>
  <c r="P90" i="84"/>
  <c r="O90" i="84"/>
  <c r="N90" i="84"/>
  <c r="M90" i="84"/>
  <c r="L90" i="84"/>
  <c r="AI89" i="84"/>
  <c r="K50" i="49" s="1"/>
  <c r="AH89" i="84"/>
  <c r="AG89" i="84"/>
  <c r="AF89" i="84"/>
  <c r="AE89" i="84"/>
  <c r="AD89" i="84"/>
  <c r="AC89" i="84"/>
  <c r="AB89" i="84"/>
  <c r="AA89" i="84"/>
  <c r="Z89" i="84"/>
  <c r="Y89" i="84"/>
  <c r="X89" i="84"/>
  <c r="W89" i="84"/>
  <c r="V89" i="84"/>
  <c r="U89" i="84"/>
  <c r="T89" i="84"/>
  <c r="S89" i="84"/>
  <c r="R89" i="84"/>
  <c r="Q89" i="84"/>
  <c r="P89" i="84"/>
  <c r="O89" i="84"/>
  <c r="N89" i="84"/>
  <c r="M89" i="84"/>
  <c r="L89" i="84"/>
  <c r="H70" i="84"/>
  <c r="I70" i="84" s="1"/>
  <c r="J70" i="84" s="1"/>
  <c r="H69" i="84"/>
  <c r="I69" i="84" s="1"/>
  <c r="H68" i="84"/>
  <c r="I68" i="84" s="1"/>
  <c r="H67" i="84"/>
  <c r="I67" i="84" s="1"/>
  <c r="H66" i="84"/>
  <c r="I66" i="84" s="1"/>
  <c r="H65" i="84"/>
  <c r="I65" i="84" s="1"/>
  <c r="J65" i="84" s="1"/>
  <c r="K65" i="84" s="1"/>
  <c r="H63" i="84"/>
  <c r="I63" i="84" s="1"/>
  <c r="H62" i="84"/>
  <c r="I62" i="84" s="1"/>
  <c r="J62" i="84" s="1"/>
  <c r="H61" i="84"/>
  <c r="I61" i="84" s="1"/>
  <c r="H60" i="84"/>
  <c r="I60" i="84" s="1"/>
  <c r="H58" i="84"/>
  <c r="I58" i="84" s="1"/>
  <c r="H57" i="84"/>
  <c r="I57" i="84" s="1"/>
  <c r="J57" i="84" s="1"/>
  <c r="H56" i="84"/>
  <c r="I56" i="84" s="1"/>
  <c r="H54" i="84"/>
  <c r="I54" i="84" s="1"/>
  <c r="H51" i="84"/>
  <c r="I51" i="84" s="1"/>
  <c r="H50" i="84"/>
  <c r="I50" i="84" s="1"/>
  <c r="J50" i="84" s="1"/>
  <c r="H49" i="84"/>
  <c r="I49" i="84" s="1"/>
  <c r="H47" i="84"/>
  <c r="I47" i="84" s="1"/>
  <c r="J47" i="84" s="1"/>
  <c r="K47" i="84" s="1"/>
  <c r="L47" i="84" s="1"/>
  <c r="Q47" i="84" s="1"/>
  <c r="V47" i="84" s="1"/>
  <c r="AA47" i="84" s="1"/>
  <c r="AF47" i="84" s="1"/>
  <c r="AH47" i="84" s="1"/>
  <c r="AJ47" i="84" s="1"/>
  <c r="H43" i="84"/>
  <c r="I43" i="84" s="1"/>
  <c r="J43" i="84" s="1"/>
  <c r="H41" i="84"/>
  <c r="I41" i="84" s="1"/>
  <c r="H40" i="84"/>
  <c r="I40" i="84" s="1"/>
  <c r="H39" i="84"/>
  <c r="I39" i="84" s="1"/>
  <c r="H38" i="84"/>
  <c r="I38" i="84" s="1"/>
  <c r="J38" i="84" s="1"/>
  <c r="H37" i="84"/>
  <c r="I37" i="84" s="1"/>
  <c r="J37" i="84" s="1"/>
  <c r="H36" i="84"/>
  <c r="I36" i="84" s="1"/>
  <c r="J36" i="84" s="1"/>
  <c r="H35" i="84"/>
  <c r="I35" i="84" s="1"/>
  <c r="H34" i="84"/>
  <c r="I34" i="84" s="1"/>
  <c r="J34" i="84" s="1"/>
  <c r="H33" i="84"/>
  <c r="I33" i="84" s="1"/>
  <c r="H32" i="84"/>
  <c r="I32" i="84" s="1"/>
  <c r="H31" i="84"/>
  <c r="I31" i="84" s="1"/>
  <c r="J31" i="84" s="1"/>
  <c r="K31" i="84" s="1"/>
  <c r="H30" i="84"/>
  <c r="I30" i="84" s="1"/>
  <c r="J30" i="84" s="1"/>
  <c r="H29" i="84"/>
  <c r="I29" i="84" s="1"/>
  <c r="J29" i="84" s="1"/>
  <c r="K29" i="84" s="1"/>
  <c r="P29" i="84" s="1"/>
  <c r="H26" i="84"/>
  <c r="I26" i="84" s="1"/>
  <c r="H24" i="84"/>
  <c r="I24" i="84" s="1"/>
  <c r="J24" i="84" s="1"/>
  <c r="H23" i="84"/>
  <c r="I23" i="84" s="1"/>
  <c r="H21" i="84"/>
  <c r="I21" i="84" s="1"/>
  <c r="J21" i="84" s="1"/>
  <c r="H20" i="84"/>
  <c r="I20" i="84" s="1"/>
  <c r="J20" i="84" s="1"/>
  <c r="H19" i="84"/>
  <c r="I19" i="84" s="1"/>
  <c r="H17" i="84"/>
  <c r="I17" i="84" s="1"/>
  <c r="H14" i="84"/>
  <c r="I14" i="84" s="1"/>
  <c r="H13" i="84"/>
  <c r="I13" i="84" s="1"/>
  <c r="J13" i="84" s="1"/>
  <c r="H10" i="84"/>
  <c r="I10" i="84" s="1"/>
  <c r="J10" i="84" s="1"/>
  <c r="H9" i="84"/>
  <c r="I9" i="84" s="1"/>
  <c r="J9" i="84" s="1"/>
  <c r="K9" i="84" s="1"/>
  <c r="H8" i="84"/>
  <c r="I8" i="84" s="1"/>
  <c r="J8" i="84" s="1"/>
  <c r="H7" i="84"/>
  <c r="I7" i="84" s="1"/>
  <c r="J7" i="84" s="1"/>
  <c r="H6" i="84"/>
  <c r="I6" i="84" s="1"/>
  <c r="H5" i="84"/>
  <c r="I5" i="84" s="1"/>
  <c r="J5" i="84" s="1"/>
  <c r="H14" i="82"/>
  <c r="E14" i="82"/>
  <c r="I13" i="82"/>
  <c r="J13" i="82"/>
  <c r="K13" i="82"/>
  <c r="P15" i="82"/>
  <c r="K48" i="47" s="1"/>
  <c r="F13" i="82"/>
  <c r="G13" i="82" s="1"/>
  <c r="O15" i="82" s="1"/>
  <c r="I12" i="82"/>
  <c r="J12" i="82"/>
  <c r="K12" i="82"/>
  <c r="F12" i="82"/>
  <c r="G12" i="82" s="1"/>
  <c r="O13" i="82" s="1"/>
  <c r="O12" i="82"/>
  <c r="K47" i="42" s="1"/>
  <c r="P11" i="82"/>
  <c r="K48" i="49" s="1"/>
  <c r="O11" i="82"/>
  <c r="K47" i="49" s="1"/>
  <c r="I11" i="82"/>
  <c r="J11" i="82"/>
  <c r="K11" i="82"/>
  <c r="I10" i="82"/>
  <c r="J10" i="82"/>
  <c r="K10" i="82"/>
  <c r="P14" i="82"/>
  <c r="K48" i="41" s="1"/>
  <c r="O14" i="82"/>
  <c r="K47" i="41" s="1"/>
  <c r="I9" i="82"/>
  <c r="J9" i="82"/>
  <c r="K9" i="82"/>
  <c r="I8" i="82"/>
  <c r="J8" i="82"/>
  <c r="P12" i="82"/>
  <c r="K48" i="42" s="1"/>
  <c r="P8" i="82"/>
  <c r="K48" i="44" s="1"/>
  <c r="F6" i="82"/>
  <c r="G6" i="82" s="1"/>
  <c r="O8" i="82" s="1"/>
  <c r="P10" i="82"/>
  <c r="K48" i="43" s="1"/>
  <c r="O10" i="82"/>
  <c r="K47" i="43" s="1"/>
  <c r="O7" i="82"/>
  <c r="I5" i="82"/>
  <c r="J5" i="82"/>
  <c r="K5" i="82"/>
  <c r="F5" i="82"/>
  <c r="G5" i="82" s="1"/>
  <c r="O6" i="82" s="1"/>
  <c r="P4" i="82"/>
  <c r="K48" i="2" s="1"/>
  <c r="O4" i="82"/>
  <c r="K47" i="2" s="1"/>
  <c r="G4" i="82"/>
  <c r="I3" i="82"/>
  <c r="F3" i="82"/>
  <c r="G3" i="82" s="1"/>
  <c r="P7" i="82"/>
  <c r="K48" i="53" s="1"/>
  <c r="P13" i="82"/>
  <c r="K48" i="48" s="1"/>
  <c r="I14" i="82"/>
  <c r="J3" i="82"/>
  <c r="K3" i="82"/>
  <c r="K14" i="82"/>
  <c r="P6" i="82"/>
  <c r="K48" i="52" s="1"/>
  <c r="J14" i="82"/>
  <c r="P5" i="82"/>
  <c r="K48" i="45" s="1"/>
  <c r="K72" i="71"/>
  <c r="K67" i="71"/>
  <c r="K52" i="71"/>
  <c r="K51" i="71"/>
  <c r="K50" i="71"/>
  <c r="K48" i="71"/>
  <c r="K47" i="71"/>
  <c r="K46" i="71"/>
  <c r="K45" i="71"/>
  <c r="K44" i="71"/>
  <c r="K41" i="71"/>
  <c r="K40" i="71"/>
  <c r="K39" i="71"/>
  <c r="K38" i="71"/>
  <c r="K37" i="71"/>
  <c r="K33" i="71"/>
  <c r="K32" i="71"/>
  <c r="K31" i="71"/>
  <c r="K30" i="71"/>
  <c r="K28" i="71"/>
  <c r="K22" i="71"/>
  <c r="K21" i="71"/>
  <c r="K16" i="71"/>
  <c r="K15" i="71"/>
  <c r="K14" i="71"/>
  <c r="K13" i="71"/>
  <c r="K12" i="71"/>
  <c r="K11" i="71"/>
  <c r="K10" i="71"/>
  <c r="K9" i="71"/>
  <c r="K8" i="71"/>
  <c r="K7" i="71"/>
  <c r="K6" i="71"/>
  <c r="K5" i="71"/>
  <c r="K4" i="71"/>
  <c r="K3" i="71"/>
  <c r="I32" i="71"/>
  <c r="I45" i="71"/>
  <c r="I38" i="71"/>
  <c r="I39" i="71"/>
  <c r="I40" i="71"/>
  <c r="I37" i="71"/>
  <c r="E86" i="70"/>
  <c r="E65" i="70"/>
  <c r="E28" i="70"/>
  <c r="T24" i="76"/>
  <c r="T12" i="76"/>
  <c r="T11" i="76"/>
  <c r="T10" i="76"/>
  <c r="T9" i="76"/>
  <c r="T8" i="76"/>
  <c r="T13" i="76"/>
  <c r="T26" i="76"/>
  <c r="AU10" i="70"/>
  <c r="AO28" i="70"/>
  <c r="M18" i="76"/>
  <c r="M24" i="76"/>
  <c r="M12" i="76"/>
  <c r="M11" i="76"/>
  <c r="M10" i="76"/>
  <c r="M9" i="76"/>
  <c r="M8" i="76"/>
  <c r="M13" i="76"/>
  <c r="M26" i="76"/>
  <c r="F24" i="76"/>
  <c r="F12" i="76"/>
  <c r="F11" i="76"/>
  <c r="F10" i="76"/>
  <c r="F9" i="76"/>
  <c r="F8" i="76"/>
  <c r="F13" i="76"/>
  <c r="F3" i="76"/>
  <c r="F26" i="76"/>
  <c r="I67" i="71"/>
  <c r="I52" i="71"/>
  <c r="I3" i="71"/>
  <c r="I48" i="71"/>
  <c r="I50" i="71"/>
  <c r="I51" i="71"/>
  <c r="I72" i="71"/>
  <c r="I47" i="71"/>
  <c r="I46" i="71"/>
  <c r="I44" i="71"/>
  <c r="I41" i="71"/>
  <c r="I33" i="71"/>
  <c r="I31" i="71"/>
  <c r="I30" i="71"/>
  <c r="I28" i="71"/>
  <c r="I22" i="71"/>
  <c r="I73" i="71" s="1"/>
  <c r="I21" i="71"/>
  <c r="I16" i="71"/>
  <c r="I15" i="71"/>
  <c r="I14" i="71"/>
  <c r="I13" i="71"/>
  <c r="I12" i="71"/>
  <c r="I11" i="71"/>
  <c r="I10" i="71"/>
  <c r="I9" i="71"/>
  <c r="I8" i="71"/>
  <c r="I7" i="71"/>
  <c r="I6" i="71"/>
  <c r="I5" i="71"/>
  <c r="I4" i="71"/>
  <c r="E9" i="70"/>
  <c r="K118" i="70"/>
  <c r="K88" i="70"/>
  <c r="J37" i="74"/>
  <c r="J38" i="74"/>
  <c r="A33" i="1"/>
  <c r="J36" i="74"/>
  <c r="J35" i="74"/>
  <c r="J34" i="74"/>
  <c r="J33" i="74"/>
  <c r="J32" i="74"/>
  <c r="J31" i="74"/>
  <c r="J30" i="74"/>
  <c r="J29" i="74"/>
  <c r="J28" i="74"/>
  <c r="J27" i="74"/>
  <c r="J26" i="74"/>
  <c r="J25" i="74"/>
  <c r="J24" i="74"/>
  <c r="J23" i="74"/>
  <c r="J22" i="74"/>
  <c r="J21" i="74"/>
  <c r="J20" i="74"/>
  <c r="J19" i="74"/>
  <c r="J18" i="74"/>
  <c r="J17" i="74"/>
  <c r="J16" i="74"/>
  <c r="J15" i="74"/>
  <c r="J14" i="74"/>
  <c r="J13" i="74"/>
  <c r="J12" i="74"/>
  <c r="J11" i="74"/>
  <c r="C8" i="74"/>
  <c r="C7" i="74"/>
  <c r="C11" i="74" s="1"/>
  <c r="C6" i="74"/>
  <c r="J27" i="49"/>
  <c r="J28" i="49"/>
  <c r="J29" i="49"/>
  <c r="J30" i="49"/>
  <c r="J31" i="49"/>
  <c r="J32" i="49"/>
  <c r="J33" i="49"/>
  <c r="J34" i="49"/>
  <c r="J35" i="49"/>
  <c r="J36" i="49"/>
  <c r="J37" i="49"/>
  <c r="J22" i="49"/>
  <c r="J17" i="49"/>
  <c r="J18" i="49"/>
  <c r="J19" i="49"/>
  <c r="J20" i="49"/>
  <c r="J21" i="49"/>
  <c r="J23" i="49"/>
  <c r="J24" i="49"/>
  <c r="J25" i="49"/>
  <c r="J26" i="49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38" i="43"/>
  <c r="J37" i="43"/>
  <c r="J36" i="43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38" i="44"/>
  <c r="J37" i="44"/>
  <c r="J36" i="44"/>
  <c r="J35" i="44"/>
  <c r="J34" i="44"/>
  <c r="J33" i="44"/>
  <c r="J32" i="44"/>
  <c r="J31" i="44"/>
  <c r="J30" i="44"/>
  <c r="J29" i="44"/>
  <c r="J28" i="44"/>
  <c r="J27" i="44"/>
  <c r="J26" i="44"/>
  <c r="J25" i="44"/>
  <c r="J24" i="44"/>
  <c r="J23" i="44"/>
  <c r="J22" i="44"/>
  <c r="J21" i="44"/>
  <c r="J20" i="44"/>
  <c r="J19" i="44"/>
  <c r="J18" i="44"/>
  <c r="J17" i="44"/>
  <c r="J16" i="44"/>
  <c r="J15" i="44"/>
  <c r="J14" i="44"/>
  <c r="J13" i="44"/>
  <c r="J12" i="44"/>
  <c r="J11" i="44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2" i="45"/>
  <c r="J21" i="45"/>
  <c r="J20" i="45"/>
  <c r="J19" i="45"/>
  <c r="J18" i="45"/>
  <c r="J17" i="45"/>
  <c r="J16" i="45"/>
  <c r="J15" i="45"/>
  <c r="J14" i="45"/>
  <c r="J13" i="45"/>
  <c r="J12" i="45"/>
  <c r="I57" i="51"/>
  <c r="I56" i="51"/>
  <c r="I58" i="51"/>
  <c r="G54" i="51"/>
  <c r="F54" i="51"/>
  <c r="E54" i="51"/>
  <c r="D54" i="51"/>
  <c r="I54" i="51"/>
  <c r="I60" i="51"/>
  <c r="I45" i="51"/>
  <c r="H45" i="51"/>
  <c r="I44" i="51"/>
  <c r="H44" i="51"/>
  <c r="I43" i="51"/>
  <c r="H43" i="51"/>
  <c r="I42" i="51"/>
  <c r="H42" i="51"/>
  <c r="I41" i="51"/>
  <c r="H41" i="51"/>
  <c r="I40" i="51"/>
  <c r="H40" i="51"/>
  <c r="I39" i="51"/>
  <c r="H39" i="51"/>
  <c r="I38" i="51"/>
  <c r="H38" i="51"/>
  <c r="I37" i="51"/>
  <c r="H37" i="51"/>
  <c r="I36" i="51"/>
  <c r="H36" i="51"/>
  <c r="I35" i="51"/>
  <c r="H35" i="51"/>
  <c r="I34" i="51"/>
  <c r="H34" i="51"/>
  <c r="I33" i="51"/>
  <c r="H33" i="51"/>
  <c r="I32" i="51"/>
  <c r="H32" i="51"/>
  <c r="I31" i="51"/>
  <c r="H31" i="51"/>
  <c r="I30" i="51"/>
  <c r="H30" i="51"/>
  <c r="I29" i="51"/>
  <c r="H29" i="51"/>
  <c r="I28" i="51"/>
  <c r="H28" i="51"/>
  <c r="I27" i="51"/>
  <c r="H27" i="51"/>
  <c r="I26" i="51"/>
  <c r="H26" i="51"/>
  <c r="I25" i="51"/>
  <c r="H25" i="51"/>
  <c r="I24" i="51"/>
  <c r="H24" i="51"/>
  <c r="I23" i="51"/>
  <c r="H23" i="51"/>
  <c r="I22" i="51"/>
  <c r="H22" i="51"/>
  <c r="I21" i="51"/>
  <c r="H21" i="51"/>
  <c r="I20" i="51"/>
  <c r="H20" i="51"/>
  <c r="I19" i="51"/>
  <c r="H19" i="51"/>
  <c r="I18" i="51"/>
  <c r="H18" i="51"/>
  <c r="I17" i="51"/>
  <c r="H17" i="51"/>
  <c r="I16" i="51"/>
  <c r="H16" i="51"/>
  <c r="I15" i="51"/>
  <c r="H15" i="51"/>
  <c r="I14" i="51"/>
  <c r="H14" i="51"/>
  <c r="I13" i="51"/>
  <c r="H13" i="51"/>
  <c r="I12" i="51"/>
  <c r="H12" i="51"/>
  <c r="I11" i="51"/>
  <c r="H11" i="51"/>
  <c r="H54" i="51"/>
  <c r="J38" i="52"/>
  <c r="J37" i="52"/>
  <c r="J36" i="52"/>
  <c r="J35" i="52"/>
  <c r="J34" i="52"/>
  <c r="J33" i="52"/>
  <c r="J32" i="52"/>
  <c r="J31" i="52"/>
  <c r="J30" i="52"/>
  <c r="J29" i="52"/>
  <c r="J28" i="52"/>
  <c r="J27" i="52"/>
  <c r="J26" i="52"/>
  <c r="J25" i="52"/>
  <c r="J24" i="52"/>
  <c r="J23" i="52"/>
  <c r="J22" i="52"/>
  <c r="J21" i="52"/>
  <c r="J20" i="52"/>
  <c r="J19" i="52"/>
  <c r="J18" i="52"/>
  <c r="J17" i="52"/>
  <c r="J16" i="52"/>
  <c r="J15" i="52"/>
  <c r="J14" i="52"/>
  <c r="J13" i="52"/>
  <c r="J12" i="52"/>
  <c r="J11" i="52"/>
  <c r="E70" i="51"/>
  <c r="C78" i="51"/>
  <c r="A24" i="1"/>
  <c r="D16" i="66"/>
  <c r="E16" i="66"/>
  <c r="F16" i="66"/>
  <c r="G16" i="66"/>
  <c r="H16" i="66"/>
  <c r="I16" i="66"/>
  <c r="J16" i="66"/>
  <c r="K16" i="66"/>
  <c r="L16" i="66"/>
  <c r="M16" i="66"/>
  <c r="N16" i="66"/>
  <c r="O16" i="66"/>
  <c r="P16" i="66"/>
  <c r="Q16" i="66"/>
  <c r="R16" i="66"/>
  <c r="S16" i="66"/>
  <c r="T16" i="66"/>
  <c r="U16" i="66"/>
  <c r="V16" i="66"/>
  <c r="W16" i="66"/>
  <c r="C16" i="66"/>
  <c r="N15" i="66"/>
  <c r="AA35" i="28"/>
  <c r="AB35" i="28"/>
  <c r="AD35" i="28"/>
  <c r="AA36" i="28"/>
  <c r="AB36" i="28"/>
  <c r="AD36" i="28"/>
  <c r="AA37" i="28"/>
  <c r="AB37" i="28"/>
  <c r="AD37" i="28"/>
  <c r="AA38" i="28"/>
  <c r="AB38" i="28"/>
  <c r="AD38" i="28"/>
  <c r="AA39" i="28"/>
  <c r="AB39" i="28"/>
  <c r="AD39" i="28"/>
  <c r="AA40" i="28"/>
  <c r="AB40" i="28"/>
  <c r="AD40" i="28"/>
  <c r="AA41" i="28"/>
  <c r="AB41" i="28"/>
  <c r="AD41" i="28"/>
  <c r="AA42" i="28"/>
  <c r="AB42" i="28"/>
  <c r="AD42" i="28"/>
  <c r="AA43" i="28"/>
  <c r="AB43" i="28"/>
  <c r="AD43" i="28"/>
  <c r="AA44" i="28"/>
  <c r="AB44" i="28"/>
  <c r="AD44" i="28"/>
  <c r="AA45" i="28"/>
  <c r="AB45" i="28"/>
  <c r="AD45" i="28"/>
  <c r="AA46" i="28"/>
  <c r="AB46" i="28"/>
  <c r="AD46" i="28"/>
  <c r="AA47" i="28"/>
  <c r="AB47" i="28"/>
  <c r="AD47" i="28"/>
  <c r="AA48" i="28"/>
  <c r="AB48" i="28"/>
  <c r="AD48" i="28"/>
  <c r="E1" i="66"/>
  <c r="H1" i="66" s="1"/>
  <c r="DX16" i="66"/>
  <c r="DU16" i="66"/>
  <c r="DR16" i="66"/>
  <c r="DO16" i="66"/>
  <c r="DL16" i="66"/>
  <c r="DI16" i="66"/>
  <c r="DF16" i="66"/>
  <c r="I2" i="65"/>
  <c r="I2" i="64"/>
  <c r="I2" i="63"/>
  <c r="I2" i="62"/>
  <c r="C1" i="66"/>
  <c r="D1" i="66" s="1"/>
  <c r="F1" i="66" s="1"/>
  <c r="G1" i="66" s="1"/>
  <c r="I1" i="66" s="1"/>
  <c r="J1" i="66" s="1"/>
  <c r="DD16" i="66"/>
  <c r="DE16" i="66"/>
  <c r="DG16" i="66"/>
  <c r="DH16" i="66"/>
  <c r="DJ16" i="66"/>
  <c r="DK16" i="66"/>
  <c r="DM16" i="66"/>
  <c r="DN16" i="66"/>
  <c r="DP16" i="66"/>
  <c r="DQ16" i="66"/>
  <c r="DS16" i="66"/>
  <c r="DT16" i="66"/>
  <c r="DV16" i="66"/>
  <c r="DW16" i="66"/>
  <c r="I3" i="65"/>
  <c r="I4" i="65" s="1"/>
  <c r="A6" i="65" s="1"/>
  <c r="I3" i="64"/>
  <c r="I4" i="64" s="1"/>
  <c r="I3" i="63"/>
  <c r="I4" i="63" s="1"/>
  <c r="A6" i="63" s="1"/>
  <c r="I3" i="62"/>
  <c r="I3" i="61"/>
  <c r="I4" i="61" s="1"/>
  <c r="DX15" i="66"/>
  <c r="DU15" i="66"/>
  <c r="DR15" i="66"/>
  <c r="DO15" i="66"/>
  <c r="DL15" i="66"/>
  <c r="DI15" i="66"/>
  <c r="DF15" i="66"/>
  <c r="H15" i="66"/>
  <c r="T15" i="66"/>
  <c r="W15" i="66"/>
  <c r="E15" i="66"/>
  <c r="Q15" i="66"/>
  <c r="K15" i="66"/>
  <c r="D39" i="65"/>
  <c r="C39" i="65"/>
  <c r="B34" i="65"/>
  <c r="A34" i="65"/>
  <c r="B33" i="65"/>
  <c r="A33" i="65"/>
  <c r="B32" i="65"/>
  <c r="A32" i="65"/>
  <c r="B31" i="65"/>
  <c r="A31" i="65"/>
  <c r="B30" i="65"/>
  <c r="A30" i="65"/>
  <c r="B29" i="65"/>
  <c r="A29" i="65"/>
  <c r="B28" i="65"/>
  <c r="A28" i="65"/>
  <c r="B27" i="65"/>
  <c r="A27" i="65"/>
  <c r="B26" i="65"/>
  <c r="A26" i="65"/>
  <c r="B25" i="65"/>
  <c r="A25" i="65"/>
  <c r="B24" i="65"/>
  <c r="A24" i="65"/>
  <c r="B23" i="65"/>
  <c r="A23" i="65"/>
  <c r="B22" i="65"/>
  <c r="A22" i="65"/>
  <c r="B21" i="65"/>
  <c r="A21" i="65"/>
  <c r="B20" i="65"/>
  <c r="A20" i="65"/>
  <c r="B19" i="65"/>
  <c r="A19" i="65"/>
  <c r="B18" i="65"/>
  <c r="A18" i="65"/>
  <c r="B17" i="65"/>
  <c r="A17" i="65"/>
  <c r="B15" i="65"/>
  <c r="A15" i="65"/>
  <c r="B14" i="65"/>
  <c r="A14" i="65"/>
  <c r="B13" i="65"/>
  <c r="A13" i="65"/>
  <c r="B12" i="65"/>
  <c r="A12" i="65"/>
  <c r="B11" i="65"/>
  <c r="A11" i="65"/>
  <c r="B10" i="65"/>
  <c r="A10" i="65"/>
  <c r="B9" i="65"/>
  <c r="A9" i="65"/>
  <c r="D39" i="64"/>
  <c r="C39" i="64"/>
  <c r="B34" i="64"/>
  <c r="A34" i="64"/>
  <c r="B33" i="64"/>
  <c r="A33" i="64"/>
  <c r="B32" i="64"/>
  <c r="A32" i="64"/>
  <c r="B31" i="64"/>
  <c r="A31" i="64"/>
  <c r="B30" i="64"/>
  <c r="A30" i="64"/>
  <c r="B29" i="64"/>
  <c r="A29" i="64"/>
  <c r="B28" i="64"/>
  <c r="A28" i="64"/>
  <c r="B27" i="64"/>
  <c r="A27" i="64"/>
  <c r="B26" i="64"/>
  <c r="A26" i="64"/>
  <c r="B25" i="64"/>
  <c r="A25" i="64"/>
  <c r="B24" i="64"/>
  <c r="A24" i="64"/>
  <c r="B23" i="64"/>
  <c r="A23" i="64"/>
  <c r="B22" i="64"/>
  <c r="A22" i="64"/>
  <c r="B21" i="64"/>
  <c r="A21" i="64"/>
  <c r="B20" i="64"/>
  <c r="A20" i="64"/>
  <c r="B19" i="64"/>
  <c r="A19" i="64"/>
  <c r="B18" i="64"/>
  <c r="A18" i="64"/>
  <c r="B17" i="64"/>
  <c r="A17" i="64"/>
  <c r="B15" i="64"/>
  <c r="A15" i="64"/>
  <c r="B14" i="64"/>
  <c r="A14" i="64"/>
  <c r="B13" i="64"/>
  <c r="A13" i="64"/>
  <c r="B12" i="64"/>
  <c r="A12" i="64"/>
  <c r="B11" i="64"/>
  <c r="A11" i="64"/>
  <c r="B10" i="64"/>
  <c r="A10" i="64"/>
  <c r="B9" i="64"/>
  <c r="A9" i="64"/>
  <c r="D39" i="63"/>
  <c r="C39" i="63"/>
  <c r="B34" i="63"/>
  <c r="A34" i="63"/>
  <c r="B33" i="63"/>
  <c r="A33" i="63"/>
  <c r="B32" i="63"/>
  <c r="A32" i="63"/>
  <c r="B31" i="63"/>
  <c r="A31" i="63"/>
  <c r="B30" i="63"/>
  <c r="A30" i="63"/>
  <c r="B29" i="63"/>
  <c r="A29" i="63"/>
  <c r="B28" i="63"/>
  <c r="A28" i="63"/>
  <c r="B27" i="63"/>
  <c r="A27" i="63"/>
  <c r="B26" i="63"/>
  <c r="A26" i="63"/>
  <c r="B25" i="63"/>
  <c r="A25" i="63"/>
  <c r="B24" i="63"/>
  <c r="A24" i="63"/>
  <c r="B23" i="63"/>
  <c r="A23" i="63"/>
  <c r="B22" i="63"/>
  <c r="A22" i="63"/>
  <c r="B21" i="63"/>
  <c r="A21" i="63"/>
  <c r="B20" i="63"/>
  <c r="A20" i="63"/>
  <c r="B19" i="63"/>
  <c r="A19" i="63"/>
  <c r="B18" i="63"/>
  <c r="A18" i="63"/>
  <c r="B17" i="63"/>
  <c r="A17" i="63"/>
  <c r="B15" i="63"/>
  <c r="A15" i="63"/>
  <c r="B14" i="63"/>
  <c r="A14" i="63"/>
  <c r="B13" i="63"/>
  <c r="A13" i="63"/>
  <c r="B12" i="63"/>
  <c r="A12" i="63"/>
  <c r="B11" i="63"/>
  <c r="A11" i="63"/>
  <c r="B10" i="63"/>
  <c r="A10" i="63"/>
  <c r="B9" i="63"/>
  <c r="A9" i="63"/>
  <c r="I2" i="61"/>
  <c r="I3" i="60"/>
  <c r="I4" i="60" s="1"/>
  <c r="A6" i="60" s="1"/>
  <c r="I2" i="60"/>
  <c r="D39" i="62"/>
  <c r="C39" i="62"/>
  <c r="B34" i="62"/>
  <c r="A34" i="62"/>
  <c r="B33" i="62"/>
  <c r="A33" i="62"/>
  <c r="B32" i="62"/>
  <c r="A32" i="62"/>
  <c r="B31" i="62"/>
  <c r="A31" i="62"/>
  <c r="B30" i="62"/>
  <c r="A30" i="62"/>
  <c r="B29" i="62"/>
  <c r="A29" i="62"/>
  <c r="B28" i="62"/>
  <c r="A28" i="62"/>
  <c r="B27" i="62"/>
  <c r="A27" i="62"/>
  <c r="B26" i="62"/>
  <c r="A26" i="62"/>
  <c r="B25" i="62"/>
  <c r="A25" i="62"/>
  <c r="B24" i="62"/>
  <c r="A24" i="62"/>
  <c r="B23" i="62"/>
  <c r="A23" i="62"/>
  <c r="B22" i="62"/>
  <c r="A22" i="62"/>
  <c r="B21" i="62"/>
  <c r="A21" i="62"/>
  <c r="B20" i="62"/>
  <c r="A20" i="62"/>
  <c r="B19" i="62"/>
  <c r="A19" i="62"/>
  <c r="B18" i="62"/>
  <c r="A18" i="62"/>
  <c r="B17" i="62"/>
  <c r="A17" i="62"/>
  <c r="B15" i="62"/>
  <c r="A15" i="62"/>
  <c r="B14" i="62"/>
  <c r="A14" i="62"/>
  <c r="B13" i="62"/>
  <c r="A13" i="62"/>
  <c r="B12" i="62"/>
  <c r="A12" i="62"/>
  <c r="B11" i="62"/>
  <c r="A11" i="62"/>
  <c r="B10" i="62"/>
  <c r="A10" i="62"/>
  <c r="B9" i="62"/>
  <c r="A9" i="62"/>
  <c r="D39" i="61"/>
  <c r="C39" i="61"/>
  <c r="B34" i="61"/>
  <c r="A34" i="61"/>
  <c r="B33" i="61"/>
  <c r="A33" i="61"/>
  <c r="B32" i="61"/>
  <c r="A32" i="61"/>
  <c r="B31" i="61"/>
  <c r="A31" i="61"/>
  <c r="B30" i="61"/>
  <c r="A30" i="61"/>
  <c r="B29" i="61"/>
  <c r="A29" i="61"/>
  <c r="B28" i="61"/>
  <c r="A28" i="61"/>
  <c r="B27" i="61"/>
  <c r="A27" i="61"/>
  <c r="B26" i="61"/>
  <c r="A26" i="61"/>
  <c r="B25" i="61"/>
  <c r="A25" i="61"/>
  <c r="B24" i="61"/>
  <c r="A24" i="61"/>
  <c r="B23" i="61"/>
  <c r="A23" i="61"/>
  <c r="B22" i="61"/>
  <c r="A22" i="61"/>
  <c r="B21" i="61"/>
  <c r="A21" i="61"/>
  <c r="B20" i="61"/>
  <c r="A20" i="61"/>
  <c r="B19" i="61"/>
  <c r="A19" i="61"/>
  <c r="B18" i="61"/>
  <c r="A18" i="61"/>
  <c r="B17" i="61"/>
  <c r="A17" i="61"/>
  <c r="B15" i="61"/>
  <c r="A15" i="61"/>
  <c r="B14" i="61"/>
  <c r="A14" i="61"/>
  <c r="B13" i="61"/>
  <c r="A13" i="61"/>
  <c r="B12" i="61"/>
  <c r="A12" i="61"/>
  <c r="B11" i="61"/>
  <c r="A11" i="61"/>
  <c r="B10" i="61"/>
  <c r="A10" i="61"/>
  <c r="B9" i="61"/>
  <c r="A9" i="61"/>
  <c r="D39" i="60"/>
  <c r="C39" i="60"/>
  <c r="B34" i="60"/>
  <c r="A34" i="60"/>
  <c r="B33" i="60"/>
  <c r="A33" i="60"/>
  <c r="B32" i="60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I16" i="65"/>
  <c r="H16" i="65"/>
  <c r="I16" i="64"/>
  <c r="H16" i="64"/>
  <c r="I16" i="63"/>
  <c r="H16" i="63"/>
  <c r="I16" i="62"/>
  <c r="H16" i="62"/>
  <c r="I16" i="61"/>
  <c r="F16" i="65"/>
  <c r="G16" i="65"/>
  <c r="F16" i="60"/>
  <c r="I16" i="60"/>
  <c r="H16" i="60"/>
  <c r="G16" i="62"/>
  <c r="F16" i="62"/>
  <c r="G16" i="63"/>
  <c r="F16" i="63"/>
  <c r="G16" i="64"/>
  <c r="F16" i="64"/>
  <c r="H16" i="61"/>
  <c r="G16" i="61"/>
  <c r="F16" i="61"/>
  <c r="G16" i="60"/>
  <c r="C14" i="67"/>
  <c r="F20" i="65"/>
  <c r="G20" i="65"/>
  <c r="I20" i="65"/>
  <c r="H20" i="65"/>
  <c r="F9" i="65"/>
  <c r="F36" i="65"/>
  <c r="I9" i="65"/>
  <c r="H9" i="65"/>
  <c r="H36" i="65"/>
  <c r="G9" i="65"/>
  <c r="I31" i="65"/>
  <c r="H31" i="65"/>
  <c r="F31" i="65"/>
  <c r="G31" i="65"/>
  <c r="F23" i="65"/>
  <c r="G23" i="65"/>
  <c r="I23" i="65"/>
  <c r="H23" i="65"/>
  <c r="I24" i="65"/>
  <c r="H24" i="65"/>
  <c r="G24" i="65"/>
  <c r="F24" i="65"/>
  <c r="G13" i="65"/>
  <c r="I13" i="65"/>
  <c r="H13" i="65"/>
  <c r="F13" i="65"/>
  <c r="I21" i="65"/>
  <c r="H21" i="65"/>
  <c r="F21" i="65"/>
  <c r="G21" i="65"/>
  <c r="I32" i="65"/>
  <c r="H32" i="65"/>
  <c r="G32" i="65"/>
  <c r="F32" i="65"/>
  <c r="I26" i="65"/>
  <c r="H26" i="65"/>
  <c r="F26" i="65"/>
  <c r="G26" i="65"/>
  <c r="F27" i="65"/>
  <c r="G27" i="65"/>
  <c r="I27" i="65"/>
  <c r="H27" i="65"/>
  <c r="G15" i="65"/>
  <c r="F15" i="65"/>
  <c r="I15" i="65"/>
  <c r="H15" i="65"/>
  <c r="I28" i="65"/>
  <c r="H28" i="65"/>
  <c r="F28" i="65"/>
  <c r="G28" i="65"/>
  <c r="F25" i="65"/>
  <c r="G25" i="65"/>
  <c r="I25" i="65"/>
  <c r="H25" i="65"/>
  <c r="F17" i="65"/>
  <c r="I17" i="65"/>
  <c r="H17" i="65"/>
  <c r="G17" i="65"/>
  <c r="F12" i="65"/>
  <c r="I12" i="65"/>
  <c r="H12" i="65"/>
  <c r="G12" i="65"/>
  <c r="I33" i="65"/>
  <c r="H33" i="65"/>
  <c r="F33" i="65"/>
  <c r="G33" i="65"/>
  <c r="I34" i="65"/>
  <c r="H34" i="65"/>
  <c r="G34" i="65"/>
  <c r="F34" i="65"/>
  <c r="G22" i="65"/>
  <c r="I22" i="65"/>
  <c r="H22" i="65"/>
  <c r="F22" i="65"/>
  <c r="G19" i="65"/>
  <c r="F19" i="65"/>
  <c r="I19" i="65"/>
  <c r="H19" i="65"/>
  <c r="I29" i="65"/>
  <c r="H29" i="65"/>
  <c r="G29" i="65"/>
  <c r="F29" i="65"/>
  <c r="F14" i="65"/>
  <c r="G14" i="65"/>
  <c r="I14" i="65"/>
  <c r="H14" i="65"/>
  <c r="G18" i="65"/>
  <c r="I18" i="65"/>
  <c r="H18" i="65"/>
  <c r="F18" i="65"/>
  <c r="F10" i="65"/>
  <c r="G10" i="65"/>
  <c r="I10" i="65"/>
  <c r="H10" i="65"/>
  <c r="I11" i="65"/>
  <c r="H11" i="65"/>
  <c r="F11" i="65"/>
  <c r="G11" i="65"/>
  <c r="A70" i="51"/>
  <c r="H19" i="1"/>
  <c r="B24" i="1"/>
  <c r="AC50" i="28"/>
  <c r="K4" i="28"/>
  <c r="K3" i="28"/>
  <c r="A7" i="28" s="1"/>
  <c r="K2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C8" i="41"/>
  <c r="C7" i="41"/>
  <c r="C11" i="41" s="1"/>
  <c r="C6" i="41"/>
  <c r="C8" i="42"/>
  <c r="C7" i="42"/>
  <c r="C11" i="42" s="1"/>
  <c r="C6" i="42"/>
  <c r="C8" i="43"/>
  <c r="C7" i="43"/>
  <c r="C11" i="43" s="1"/>
  <c r="C6" i="43"/>
  <c r="C8" i="44"/>
  <c r="C7" i="44"/>
  <c r="C11" i="44" s="1"/>
  <c r="C6" i="44"/>
  <c r="C8" i="53"/>
  <c r="C7" i="53"/>
  <c r="C11" i="53"/>
  <c r="C6" i="53"/>
  <c r="C8" i="45"/>
  <c r="C7" i="45"/>
  <c r="C11" i="45" s="1"/>
  <c r="C6" i="45"/>
  <c r="C8" i="47"/>
  <c r="C7" i="47"/>
  <c r="C11" i="47" s="1"/>
  <c r="C6" i="47"/>
  <c r="C8" i="48"/>
  <c r="C7" i="48"/>
  <c r="C11" i="48" s="1"/>
  <c r="C6" i="48"/>
  <c r="C8" i="49"/>
  <c r="C7" i="49"/>
  <c r="C11" i="49" s="1"/>
  <c r="C6" i="49"/>
  <c r="C8" i="50"/>
  <c r="C7" i="50"/>
  <c r="C11" i="50" s="1"/>
  <c r="C6" i="50"/>
  <c r="C8" i="51"/>
  <c r="C7" i="51"/>
  <c r="C11" i="51" s="1"/>
  <c r="C6" i="51"/>
  <c r="C8" i="52"/>
  <c r="C7" i="52"/>
  <c r="C11" i="52" s="1"/>
  <c r="C6" i="52"/>
  <c r="C7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6" i="2"/>
  <c r="A35" i="1"/>
  <c r="A34" i="1"/>
  <c r="A32" i="1"/>
  <c r="A31" i="1"/>
  <c r="A30" i="1"/>
  <c r="A29" i="1"/>
  <c r="A28" i="1"/>
  <c r="A27" i="1"/>
  <c r="A26" i="1"/>
  <c r="A25" i="1"/>
  <c r="B34" i="1"/>
  <c r="B32" i="1"/>
  <c r="B31" i="1"/>
  <c r="B30" i="1"/>
  <c r="B29" i="1"/>
  <c r="B28" i="1"/>
  <c r="B27" i="1"/>
  <c r="B26" i="1"/>
  <c r="B25" i="1"/>
  <c r="C7" i="1"/>
  <c r="AA34" i="28"/>
  <c r="AB34" i="28"/>
  <c r="AD34" i="28"/>
  <c r="AA30" i="28"/>
  <c r="AB30" i="28"/>
  <c r="AD30" i="28"/>
  <c r="AA26" i="28"/>
  <c r="AB26" i="28"/>
  <c r="AD26" i="28"/>
  <c r="AA22" i="28"/>
  <c r="AB22" i="28"/>
  <c r="AD22" i="28"/>
  <c r="AA18" i="28"/>
  <c r="AB18" i="28"/>
  <c r="AD18" i="28"/>
  <c r="AA9" i="28"/>
  <c r="AB9" i="28"/>
  <c r="AD9" i="28"/>
  <c r="AA24" i="28"/>
  <c r="AB24" i="28"/>
  <c r="AD24" i="28"/>
  <c r="AA14" i="28"/>
  <c r="AB14" i="28"/>
  <c r="AD14" i="28"/>
  <c r="AA20" i="28"/>
  <c r="AB20" i="28"/>
  <c r="AD20" i="28"/>
  <c r="AA16" i="28"/>
  <c r="AB16" i="28"/>
  <c r="AD16" i="28"/>
  <c r="AA12" i="28"/>
  <c r="AB12" i="28"/>
  <c r="AD12" i="28"/>
  <c r="AA10" i="28"/>
  <c r="AB10" i="28"/>
  <c r="AD10" i="28"/>
  <c r="AA8" i="28"/>
  <c r="AB8" i="28"/>
  <c r="AD8" i="28"/>
  <c r="AA11" i="28"/>
  <c r="AB11" i="28"/>
  <c r="AD11" i="28"/>
  <c r="AA7" i="28"/>
  <c r="AA13" i="28"/>
  <c r="AA15" i="28"/>
  <c r="AA17" i="28"/>
  <c r="AA19" i="28"/>
  <c r="AA21" i="28"/>
  <c r="AA23" i="28"/>
  <c r="AA25" i="28"/>
  <c r="AA27" i="28"/>
  <c r="AA28" i="28"/>
  <c r="AA29" i="28"/>
  <c r="AA31" i="28"/>
  <c r="AA32" i="28"/>
  <c r="AA33" i="28"/>
  <c r="AA50" i="28"/>
  <c r="AB7" i="28"/>
  <c r="AD7" i="28"/>
  <c r="AB32" i="28"/>
  <c r="AD32" i="28"/>
  <c r="AB28" i="28"/>
  <c r="AD28" i="28"/>
  <c r="AB33" i="28"/>
  <c r="AD33" i="28"/>
  <c r="AB31" i="28"/>
  <c r="AD31" i="28"/>
  <c r="AB29" i="28"/>
  <c r="AD29" i="28"/>
  <c r="AB27" i="28"/>
  <c r="AD27" i="28"/>
  <c r="AB25" i="28"/>
  <c r="AD25" i="28"/>
  <c r="AB23" i="28"/>
  <c r="AD23" i="28"/>
  <c r="AB21" i="28"/>
  <c r="AD21" i="28"/>
  <c r="AB19" i="28"/>
  <c r="AD19" i="28"/>
  <c r="AB17" i="28"/>
  <c r="AD17" i="28"/>
  <c r="AB15" i="28"/>
  <c r="AD15" i="28"/>
  <c r="AB13" i="28"/>
  <c r="AD13" i="28"/>
  <c r="DD1" i="66"/>
  <c r="DE1" i="66"/>
  <c r="F30" i="65"/>
  <c r="G30" i="65"/>
  <c r="G36" i="65"/>
  <c r="I30" i="65"/>
  <c r="H30" i="65"/>
  <c r="I18" i="60"/>
  <c r="H18" i="60"/>
  <c r="F20" i="60"/>
  <c r="I30" i="64"/>
  <c r="H30" i="64"/>
  <c r="F30" i="64"/>
  <c r="I28" i="60"/>
  <c r="H28" i="60"/>
  <c r="G20" i="60"/>
  <c r="I20" i="60"/>
  <c r="H20" i="60"/>
  <c r="G18" i="60"/>
  <c r="F18" i="60"/>
  <c r="G30" i="64"/>
  <c r="F9" i="60"/>
  <c r="F36" i="60"/>
  <c r="G9" i="60"/>
  <c r="G36" i="60"/>
  <c r="F28" i="60"/>
  <c r="G28" i="60"/>
  <c r="G32" i="60"/>
  <c r="I32" i="60"/>
  <c r="H32" i="60"/>
  <c r="F32" i="60"/>
  <c r="G25" i="60"/>
  <c r="F25" i="60"/>
  <c r="I25" i="60"/>
  <c r="H25" i="60"/>
  <c r="I34" i="60"/>
  <c r="H34" i="60"/>
  <c r="F34" i="60"/>
  <c r="G34" i="60"/>
  <c r="F29" i="60"/>
  <c r="G29" i="60"/>
  <c r="I29" i="60"/>
  <c r="H29" i="60"/>
  <c r="I9" i="60"/>
  <c r="H9" i="60"/>
  <c r="H36" i="60"/>
  <c r="I27" i="60"/>
  <c r="H27" i="60"/>
  <c r="G27" i="60"/>
  <c r="G27" i="61"/>
  <c r="G27" i="62"/>
  <c r="G27" i="63"/>
  <c r="G27" i="64"/>
  <c r="C25" i="67"/>
  <c r="F27" i="60"/>
  <c r="G14" i="60"/>
  <c r="G14" i="61"/>
  <c r="G14" i="62"/>
  <c r="G14" i="63"/>
  <c r="G14" i="64"/>
  <c r="C12" i="67"/>
  <c r="F14" i="60"/>
  <c r="I14" i="60"/>
  <c r="H14" i="60"/>
  <c r="I30" i="61"/>
  <c r="H30" i="61"/>
  <c r="F30" i="61"/>
  <c r="G30" i="61"/>
  <c r="I17" i="60"/>
  <c r="H17" i="60"/>
  <c r="F17" i="60"/>
  <c r="G17" i="60"/>
  <c r="G30" i="62"/>
  <c r="F30" i="62"/>
  <c r="I30" i="62"/>
  <c r="H30" i="62"/>
  <c r="F12" i="60"/>
  <c r="F11" i="60"/>
  <c r="F30" i="60"/>
  <c r="F31" i="60"/>
  <c r="K11" i="60"/>
  <c r="I12" i="60"/>
  <c r="H12" i="60"/>
  <c r="G12" i="60"/>
  <c r="F13" i="60"/>
  <c r="G13" i="60"/>
  <c r="I13" i="60"/>
  <c r="H13" i="60"/>
  <c r="I31" i="60"/>
  <c r="H31" i="60"/>
  <c r="G31" i="60"/>
  <c r="G26" i="60"/>
  <c r="I26" i="60"/>
  <c r="H26" i="60"/>
  <c r="F26" i="60"/>
  <c r="G10" i="60"/>
  <c r="I10" i="60"/>
  <c r="H10" i="60"/>
  <c r="F10" i="60"/>
  <c r="G11" i="60"/>
  <c r="I11" i="60"/>
  <c r="H11" i="60"/>
  <c r="I24" i="60"/>
  <c r="H24" i="60"/>
  <c r="G24" i="60"/>
  <c r="F24" i="60"/>
  <c r="I21" i="60"/>
  <c r="H21" i="60"/>
  <c r="G21" i="60"/>
  <c r="F21" i="60"/>
  <c r="G30" i="60"/>
  <c r="G30" i="63"/>
  <c r="C28" i="67"/>
  <c r="I30" i="60"/>
  <c r="H30" i="60"/>
  <c r="I22" i="60"/>
  <c r="H22" i="60"/>
  <c r="F22" i="60"/>
  <c r="G22" i="60"/>
  <c r="I19" i="60"/>
  <c r="H19" i="60"/>
  <c r="G19" i="60"/>
  <c r="F19" i="60"/>
  <c r="F23" i="60"/>
  <c r="I23" i="60"/>
  <c r="H23" i="60"/>
  <c r="G23" i="60"/>
  <c r="G15" i="60"/>
  <c r="F15" i="60"/>
  <c r="I15" i="60"/>
  <c r="H15" i="60"/>
  <c r="I33" i="60"/>
  <c r="H33" i="60"/>
  <c r="F33" i="60"/>
  <c r="G33" i="60"/>
  <c r="I30" i="63"/>
  <c r="H30" i="63"/>
  <c r="F30" i="63"/>
  <c r="F28" i="61"/>
  <c r="G26" i="61"/>
  <c r="I18" i="61"/>
  <c r="H18" i="61"/>
  <c r="I34" i="61"/>
  <c r="H34" i="61"/>
  <c r="F20" i="61"/>
  <c r="G33" i="61"/>
  <c r="F32" i="61"/>
  <c r="I28" i="61"/>
  <c r="H28" i="61"/>
  <c r="G28" i="61"/>
  <c r="I26" i="61"/>
  <c r="H26" i="61"/>
  <c r="F33" i="61"/>
  <c r="I32" i="61"/>
  <c r="H32" i="61"/>
  <c r="F18" i="61"/>
  <c r="I33" i="61"/>
  <c r="H33" i="61"/>
  <c r="F26" i="61"/>
  <c r="G32" i="61"/>
  <c r="G32" i="62"/>
  <c r="G32" i="63"/>
  <c r="G32" i="64"/>
  <c r="C30" i="67"/>
  <c r="G18" i="61"/>
  <c r="F34" i="61"/>
  <c r="G34" i="61"/>
  <c r="I20" i="61"/>
  <c r="H20" i="61"/>
  <c r="G20" i="61"/>
  <c r="G29" i="61"/>
  <c r="F29" i="61"/>
  <c r="I29" i="61"/>
  <c r="H29" i="61"/>
  <c r="F9" i="61"/>
  <c r="G9" i="61"/>
  <c r="I9" i="61"/>
  <c r="H9" i="61"/>
  <c r="H36" i="61"/>
  <c r="I15" i="61"/>
  <c r="H15" i="61"/>
  <c r="F15" i="61"/>
  <c r="G15" i="61"/>
  <c r="F14" i="61"/>
  <c r="I14" i="61"/>
  <c r="H14" i="61"/>
  <c r="F13" i="61"/>
  <c r="G13" i="61"/>
  <c r="I13" i="61"/>
  <c r="H13" i="61"/>
  <c r="G24" i="61"/>
  <c r="I24" i="61"/>
  <c r="H24" i="61"/>
  <c r="F24" i="61"/>
  <c r="G19" i="61"/>
  <c r="I19" i="61"/>
  <c r="H19" i="61"/>
  <c r="F19" i="61"/>
  <c r="I23" i="61"/>
  <c r="H23" i="61"/>
  <c r="G23" i="61"/>
  <c r="F23" i="61"/>
  <c r="F31" i="61"/>
  <c r="G31" i="61"/>
  <c r="I31" i="61"/>
  <c r="H31" i="61"/>
  <c r="F11" i="61"/>
  <c r="G11" i="61"/>
  <c r="I11" i="61"/>
  <c r="H11" i="61"/>
  <c r="F17" i="61"/>
  <c r="G17" i="61"/>
  <c r="I17" i="61"/>
  <c r="H17" i="61"/>
  <c r="G10" i="61"/>
  <c r="I10" i="61"/>
  <c r="H10" i="61"/>
  <c r="F10" i="61"/>
  <c r="F27" i="61"/>
  <c r="I27" i="61"/>
  <c r="H27" i="61"/>
  <c r="G12" i="61"/>
  <c r="I12" i="61"/>
  <c r="H12" i="61"/>
  <c r="F12" i="61"/>
  <c r="F22" i="61"/>
  <c r="I22" i="61"/>
  <c r="H22" i="61"/>
  <c r="G22" i="61"/>
  <c r="G25" i="61"/>
  <c r="F25" i="61"/>
  <c r="I25" i="61"/>
  <c r="H25" i="61"/>
  <c r="F21" i="61"/>
  <c r="I21" i="61"/>
  <c r="H21" i="61"/>
  <c r="G21" i="61"/>
  <c r="K11" i="61"/>
  <c r="F36" i="61"/>
  <c r="I36" i="61"/>
  <c r="G36" i="61"/>
  <c r="F27" i="62"/>
  <c r="G22" i="62"/>
  <c r="I28" i="62"/>
  <c r="H28" i="62"/>
  <c r="I20" i="62"/>
  <c r="H20" i="62"/>
  <c r="G23" i="62"/>
  <c r="I29" i="62"/>
  <c r="H29" i="62"/>
  <c r="I27" i="62"/>
  <c r="H27" i="62"/>
  <c r="I23" i="62"/>
  <c r="H23" i="62"/>
  <c r="I22" i="62"/>
  <c r="H22" i="62"/>
  <c r="F23" i="62"/>
  <c r="F22" i="62"/>
  <c r="F29" i="62"/>
  <c r="G28" i="62"/>
  <c r="F28" i="62"/>
  <c r="G29" i="62"/>
  <c r="I32" i="62"/>
  <c r="H32" i="62"/>
  <c r="G20" i="62"/>
  <c r="G20" i="63"/>
  <c r="G20" i="64"/>
  <c r="C18" i="67"/>
  <c r="F32" i="62"/>
  <c r="F20" i="62"/>
  <c r="F34" i="62"/>
  <c r="I34" i="62"/>
  <c r="H34" i="62"/>
  <c r="G34" i="62"/>
  <c r="G18" i="62"/>
  <c r="F18" i="62"/>
  <c r="I18" i="62"/>
  <c r="H18" i="62"/>
  <c r="F14" i="62"/>
  <c r="I14" i="62"/>
  <c r="H14" i="62"/>
  <c r="I33" i="62"/>
  <c r="H33" i="62"/>
  <c r="G33" i="62"/>
  <c r="F33" i="62"/>
  <c r="G11" i="62"/>
  <c r="I11" i="62"/>
  <c r="H11" i="62"/>
  <c r="F11" i="62"/>
  <c r="G15" i="62"/>
  <c r="I15" i="62"/>
  <c r="H15" i="62"/>
  <c r="F15" i="62"/>
  <c r="I21" i="62"/>
  <c r="H21" i="62"/>
  <c r="F21" i="62"/>
  <c r="G21" i="62"/>
  <c r="I17" i="62"/>
  <c r="H17" i="62"/>
  <c r="F17" i="62"/>
  <c r="G17" i="62"/>
  <c r="I19" i="62"/>
  <c r="H19" i="62"/>
  <c r="F19" i="62"/>
  <c r="G19" i="62"/>
  <c r="F13" i="62"/>
  <c r="G13" i="62"/>
  <c r="G13" i="63"/>
  <c r="G13" i="64"/>
  <c r="C11" i="67"/>
  <c r="I13" i="62"/>
  <c r="H13" i="62"/>
  <c r="I9" i="62"/>
  <c r="F9" i="62"/>
  <c r="F36" i="62"/>
  <c r="G9" i="62"/>
  <c r="F12" i="62"/>
  <c r="I12" i="62"/>
  <c r="H12" i="62"/>
  <c r="G12" i="62"/>
  <c r="G25" i="62"/>
  <c r="F25" i="62"/>
  <c r="I25" i="62"/>
  <c r="H25" i="62"/>
  <c r="I10" i="62"/>
  <c r="H10" i="62"/>
  <c r="F10" i="62"/>
  <c r="G10" i="62"/>
  <c r="G26" i="62"/>
  <c r="G26" i="63"/>
  <c r="G26" i="64"/>
  <c r="C24" i="67"/>
  <c r="F26" i="62"/>
  <c r="I26" i="62"/>
  <c r="H26" i="62"/>
  <c r="F24" i="62"/>
  <c r="I24" i="62"/>
  <c r="H24" i="62"/>
  <c r="G24" i="62"/>
  <c r="F31" i="62"/>
  <c r="I31" i="62"/>
  <c r="H31" i="62"/>
  <c r="G31" i="62"/>
  <c r="I36" i="62"/>
  <c r="H9" i="62"/>
  <c r="H36" i="62"/>
  <c r="G36" i="62"/>
  <c r="F33" i="63"/>
  <c r="F20" i="63"/>
  <c r="I15" i="63"/>
  <c r="H15" i="63"/>
  <c r="G10" i="63"/>
  <c r="I17" i="63"/>
  <c r="H17" i="63"/>
  <c r="F14" i="63"/>
  <c r="F26" i="63"/>
  <c r="F9" i="63"/>
  <c r="F36" i="63"/>
  <c r="I32" i="63"/>
  <c r="H32" i="63"/>
  <c r="I24" i="63"/>
  <c r="H24" i="63"/>
  <c r="I25" i="63"/>
  <c r="H25" i="63"/>
  <c r="I23" i="63"/>
  <c r="H23" i="63"/>
  <c r="I27" i="63"/>
  <c r="H27" i="63"/>
  <c r="F31" i="63"/>
  <c r="F28" i="63"/>
  <c r="I20" i="63"/>
  <c r="H20" i="63"/>
  <c r="G15" i="63"/>
  <c r="F15" i="63"/>
  <c r="G33" i="63"/>
  <c r="I33" i="63"/>
  <c r="H33" i="63"/>
  <c r="G22" i="63"/>
  <c r="F22" i="63"/>
  <c r="I22" i="63"/>
  <c r="H22" i="63"/>
  <c r="G11" i="63"/>
  <c r="F11" i="63"/>
  <c r="I11" i="63"/>
  <c r="H11" i="63"/>
  <c r="I13" i="63"/>
  <c r="H13" i="63"/>
  <c r="F13" i="63"/>
  <c r="F29" i="63"/>
  <c r="I29" i="63"/>
  <c r="H29" i="63"/>
  <c r="G29" i="63"/>
  <c r="G18" i="63"/>
  <c r="I18" i="63"/>
  <c r="H18" i="63"/>
  <c r="F18" i="63"/>
  <c r="I19" i="63"/>
  <c r="H19" i="63"/>
  <c r="G19" i="63"/>
  <c r="F19" i="63"/>
  <c r="F34" i="63"/>
  <c r="I34" i="63"/>
  <c r="H34" i="63"/>
  <c r="G34" i="63"/>
  <c r="G21" i="63"/>
  <c r="F21" i="63"/>
  <c r="I21" i="63"/>
  <c r="H21" i="63"/>
  <c r="G12" i="63"/>
  <c r="F12" i="63"/>
  <c r="I12" i="63"/>
  <c r="H12" i="63"/>
  <c r="G17" i="63"/>
  <c r="I10" i="63"/>
  <c r="H10" i="63"/>
  <c r="F10" i="63"/>
  <c r="F17" i="63"/>
  <c r="G24" i="63"/>
  <c r="I14" i="63"/>
  <c r="H14" i="63"/>
  <c r="G23" i="63"/>
  <c r="F24" i="63"/>
  <c r="I26" i="63"/>
  <c r="H26" i="63"/>
  <c r="I31" i="63"/>
  <c r="H31" i="63"/>
  <c r="I9" i="63"/>
  <c r="H9" i="63"/>
  <c r="H36" i="63"/>
  <c r="F32" i="63"/>
  <c r="F23" i="63"/>
  <c r="G9" i="63"/>
  <c r="G36" i="63"/>
  <c r="F25" i="63"/>
  <c r="G25" i="63"/>
  <c r="G31" i="63"/>
  <c r="F27" i="63"/>
  <c r="G28" i="63"/>
  <c r="G28" i="64"/>
  <c r="C26" i="67"/>
  <c r="I28" i="63"/>
  <c r="H28" i="63"/>
  <c r="I36" i="63"/>
  <c r="G33" i="64"/>
  <c r="C31" i="67"/>
  <c r="I12" i="64"/>
  <c r="H12" i="64"/>
  <c r="G9" i="64"/>
  <c r="G36" i="64"/>
  <c r="G15" i="64"/>
  <c r="I14" i="64"/>
  <c r="H14" i="64"/>
  <c r="G19" i="64"/>
  <c r="I28" i="64"/>
  <c r="H28" i="64"/>
  <c r="F11" i="64"/>
  <c r="I34" i="64"/>
  <c r="H34" i="64"/>
  <c r="F21" i="64"/>
  <c r="G18" i="64"/>
  <c r="I23" i="64"/>
  <c r="H23" i="64"/>
  <c r="I20" i="64"/>
  <c r="H20" i="64"/>
  <c r="G10" i="64"/>
  <c r="F29" i="64"/>
  <c r="I25" i="64"/>
  <c r="H25" i="64"/>
  <c r="I32" i="64"/>
  <c r="H32" i="64"/>
  <c r="I22" i="64"/>
  <c r="H22" i="64"/>
  <c r="I24" i="64"/>
  <c r="H24" i="64"/>
  <c r="F26" i="64"/>
  <c r="I26" i="64"/>
  <c r="H26" i="64"/>
  <c r="F17" i="64"/>
  <c r="I17" i="64"/>
  <c r="H17" i="64"/>
  <c r="G17" i="64"/>
  <c r="F31" i="64"/>
  <c r="I31" i="64"/>
  <c r="H31" i="64"/>
  <c r="G31" i="64"/>
  <c r="C29" i="67"/>
  <c r="G11" i="64"/>
  <c r="C9" i="67"/>
  <c r="I33" i="64"/>
  <c r="H33" i="64"/>
  <c r="G12" i="64"/>
  <c r="G29" i="64"/>
  <c r="C27" i="67"/>
  <c r="I9" i="64"/>
  <c r="I36" i="64"/>
  <c r="F12" i="64"/>
  <c r="F33" i="64"/>
  <c r="F9" i="64"/>
  <c r="F36" i="64"/>
  <c r="G34" i="64"/>
  <c r="C32" i="67"/>
  <c r="F20" i="64"/>
  <c r="F13" i="64"/>
  <c r="F27" i="64"/>
  <c r="G23" i="64"/>
  <c r="C21" i="67"/>
  <c r="F10" i="64"/>
  <c r="F19" i="64"/>
  <c r="F14" i="64"/>
  <c r="F28" i="64"/>
  <c r="G21" i="64"/>
  <c r="I15" i="64"/>
  <c r="H15" i="64"/>
  <c r="F15" i="64"/>
  <c r="I19" i="64"/>
  <c r="H19" i="64"/>
  <c r="F34" i="64"/>
  <c r="I21" i="64"/>
  <c r="H21" i="64"/>
  <c r="I13" i="64"/>
  <c r="H13" i="64"/>
  <c r="I18" i="64"/>
  <c r="H18" i="64"/>
  <c r="I11" i="64"/>
  <c r="H11" i="64"/>
  <c r="I27" i="64"/>
  <c r="H27" i="64"/>
  <c r="F23" i="64"/>
  <c r="F18" i="64"/>
  <c r="F22" i="64"/>
  <c r="G22" i="64"/>
  <c r="C20" i="67"/>
  <c r="G25" i="64"/>
  <c r="C23" i="67"/>
  <c r="F25" i="64"/>
  <c r="I29" i="64"/>
  <c r="H29" i="64"/>
  <c r="F32" i="64"/>
  <c r="I10" i="64"/>
  <c r="H10" i="64"/>
  <c r="G24" i="64"/>
  <c r="C22" i="67"/>
  <c r="F24" i="64"/>
  <c r="J57" i="74"/>
  <c r="I33" i="1"/>
  <c r="C19" i="67"/>
  <c r="K4" i="62"/>
  <c r="C16" i="67"/>
  <c r="K11" i="64"/>
  <c r="K11" i="62"/>
  <c r="C10" i="67"/>
  <c r="C8" i="67"/>
  <c r="K8" i="62"/>
  <c r="I36" i="60"/>
  <c r="K8" i="64"/>
  <c r="DG1" i="66"/>
  <c r="DH1" i="66"/>
  <c r="DF1" i="66"/>
  <c r="K8" i="63"/>
  <c r="K8" i="61"/>
  <c r="K8" i="60"/>
  <c r="C15" i="67"/>
  <c r="I36" i="65"/>
  <c r="C7" i="67"/>
  <c r="C34" i="67"/>
  <c r="H9" i="64"/>
  <c r="H36" i="64"/>
  <c r="K11" i="63"/>
  <c r="C17" i="67"/>
  <c r="K4" i="61"/>
  <c r="AB50" i="28"/>
  <c r="AD50" i="28"/>
  <c r="K4" i="63"/>
  <c r="K53" i="74"/>
  <c r="K59" i="74"/>
  <c r="K4" i="60"/>
  <c r="K4" i="64"/>
  <c r="C13" i="67"/>
  <c r="DJ1" i="66"/>
  <c r="DK1" i="66"/>
  <c r="DI1" i="66"/>
  <c r="DL1" i="66"/>
  <c r="DM1" i="66"/>
  <c r="DN1" i="66"/>
  <c r="DP1" i="66"/>
  <c r="DQ1" i="66"/>
  <c r="DO1" i="66"/>
  <c r="DR1" i="66"/>
  <c r="DS1" i="66"/>
  <c r="DT1" i="66"/>
  <c r="DU1" i="66"/>
  <c r="DV1" i="66"/>
  <c r="DW1" i="66"/>
  <c r="DX1" i="66"/>
  <c r="K20" i="84"/>
  <c r="L20" i="84" s="1"/>
  <c r="J27" i="84"/>
  <c r="K27" i="84" s="1"/>
  <c r="P27" i="84" s="1"/>
  <c r="U27" i="84" s="1"/>
  <c r="Z27" i="84" s="1"/>
  <c r="AE27" i="84" s="1"/>
  <c r="AG27" i="84" s="1"/>
  <c r="AI27" i="84" s="1"/>
  <c r="AK27" i="84" s="1"/>
  <c r="AM27" i="84" s="1"/>
  <c r="AO27" i="84" s="1"/>
  <c r="AQ27" i="84" s="1"/>
  <c r="AS27" i="84" s="1"/>
  <c r="AU27" i="84" s="1"/>
  <c r="AW27" i="84" s="1"/>
  <c r="AY27" i="84" s="1"/>
  <c r="BA27" i="84" s="1"/>
  <c r="BC27" i="84" s="1"/>
  <c r="BE27" i="84" s="1"/>
  <c r="BG27" i="84" s="1"/>
  <c r="BI27" i="84" s="1"/>
  <c r="BK27" i="84" s="1"/>
  <c r="BM27" i="84" s="1"/>
  <c r="BO27" i="84" s="1"/>
  <c r="BQ27" i="84" s="1"/>
  <c r="BS27" i="84" s="1"/>
  <c r="BU27" i="84" s="1"/>
  <c r="BW27" i="84" s="1"/>
  <c r="BY27" i="84" s="1"/>
  <c r="CA27" i="84" s="1"/>
  <c r="CC27" i="84" s="1"/>
  <c r="CE27" i="84" s="1"/>
  <c r="CG27" i="84" s="1"/>
  <c r="CI27" i="84" s="1"/>
  <c r="J18" i="84"/>
  <c r="K18" i="84" s="1"/>
  <c r="N18" i="84" s="1"/>
  <c r="S18" i="84" s="1"/>
  <c r="X18" i="84" s="1"/>
  <c r="AC18" i="84" s="1"/>
  <c r="J28" i="84"/>
  <c r="K28" i="84" s="1"/>
  <c r="J42" i="84"/>
  <c r="K42" i="84" s="1"/>
  <c r="Q7" i="82"/>
  <c r="K57" i="47" l="1"/>
  <c r="O27" i="84"/>
  <c r="T27" i="84" s="1"/>
  <c r="Y27" i="84" s="1"/>
  <c r="AD27" i="84" s="1"/>
  <c r="K57" i="44"/>
  <c r="K57" i="41"/>
  <c r="K57" i="42"/>
  <c r="K57" i="43"/>
  <c r="K57" i="53"/>
  <c r="K57" i="45"/>
  <c r="K57" i="49"/>
  <c r="K57" i="48"/>
  <c r="K57" i="50"/>
  <c r="K57" i="52"/>
  <c r="G24" i="1"/>
  <c r="J24" i="1" s="1"/>
  <c r="K57" i="2"/>
  <c r="K48" i="86"/>
  <c r="K47" i="86"/>
  <c r="M27" i="84"/>
  <c r="R27" i="84" s="1"/>
  <c r="W27" i="84" s="1"/>
  <c r="AB27" i="84" s="1"/>
  <c r="A8" i="28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Q11" i="82"/>
  <c r="S6" i="82" s="1"/>
  <c r="W6" i="82" s="1"/>
  <c r="Q12" i="82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R29" i="84"/>
  <c r="C12" i="42"/>
  <c r="C13" i="42" s="1"/>
  <c r="C14" i="42" s="1"/>
  <c r="C15" i="42" s="1"/>
  <c r="C16" i="42" s="1"/>
  <c r="C17" i="42" s="1"/>
  <c r="C18" i="42" s="1"/>
  <c r="C19" i="42" s="1"/>
  <c r="C20" i="42" s="1"/>
  <c r="C21" i="42" s="1"/>
  <c r="C22" i="42" s="1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 s="1"/>
  <c r="C39" i="42" s="1"/>
  <c r="C40" i="42" s="1"/>
  <c r="C41" i="42" s="1"/>
  <c r="C37" i="1"/>
  <c r="J37" i="1" s="1"/>
  <c r="C35" i="1"/>
  <c r="C34" i="1"/>
  <c r="C32" i="1"/>
  <c r="J32" i="1" s="1"/>
  <c r="C31" i="1"/>
  <c r="C30" i="1"/>
  <c r="C29" i="1"/>
  <c r="J29" i="1" s="1"/>
  <c r="C27" i="1"/>
  <c r="C28" i="1"/>
  <c r="C26" i="1"/>
  <c r="C25" i="1"/>
  <c r="J25" i="1" s="1"/>
  <c r="K62" i="84"/>
  <c r="O62" i="84" s="1"/>
  <c r="T62" i="84" s="1"/>
  <c r="Y62" i="84" s="1"/>
  <c r="AD62" i="84" s="1"/>
  <c r="K55" i="84"/>
  <c r="P55" i="84" s="1"/>
  <c r="U55" i="84" s="1"/>
  <c r="Z55" i="84" s="1"/>
  <c r="AE55" i="84" s="1"/>
  <c r="AG55" i="84" s="1"/>
  <c r="AI55" i="84" s="1"/>
  <c r="AK55" i="84" s="1"/>
  <c r="AM55" i="84" s="1"/>
  <c r="AO55" i="84" s="1"/>
  <c r="AQ55" i="84" s="1"/>
  <c r="AS55" i="84" s="1"/>
  <c r="AU55" i="84" s="1"/>
  <c r="AW55" i="84" s="1"/>
  <c r="AY55" i="84" s="1"/>
  <c r="BA55" i="84" s="1"/>
  <c r="BC55" i="84" s="1"/>
  <c r="BE55" i="84" s="1"/>
  <c r="BG55" i="84" s="1"/>
  <c r="BI55" i="84" s="1"/>
  <c r="BK55" i="84" s="1"/>
  <c r="BM55" i="84" s="1"/>
  <c r="BO55" i="84" s="1"/>
  <c r="BQ55" i="84" s="1"/>
  <c r="BS55" i="84" s="1"/>
  <c r="BU55" i="84" s="1"/>
  <c r="BW55" i="84" s="1"/>
  <c r="BY55" i="84" s="1"/>
  <c r="CA55" i="84" s="1"/>
  <c r="CC55" i="84" s="1"/>
  <c r="CE55" i="84" s="1"/>
  <c r="CG55" i="84" s="1"/>
  <c r="CI55" i="84" s="1"/>
  <c r="K50" i="84"/>
  <c r="O50" i="84" s="1"/>
  <c r="T50" i="84" s="1"/>
  <c r="Y50" i="84" s="1"/>
  <c r="AD50" i="84" s="1"/>
  <c r="K24" i="84"/>
  <c r="M24" i="84" s="1"/>
  <c r="R24" i="84" s="1"/>
  <c r="C12" i="86"/>
  <c r="C13" i="86" s="1"/>
  <c r="C14" i="86" s="1"/>
  <c r="C15" i="86" s="1"/>
  <c r="C16" i="86" s="1"/>
  <c r="C17" i="86" s="1"/>
  <c r="C18" i="86" s="1"/>
  <c r="C19" i="86" s="1"/>
  <c r="C20" i="86" s="1"/>
  <c r="C21" i="86" s="1"/>
  <c r="C22" i="86" s="1"/>
  <c r="C23" i="86" s="1"/>
  <c r="C24" i="86" s="1"/>
  <c r="C25" i="86" s="1"/>
  <c r="C26" i="86" s="1"/>
  <c r="C27" i="86" s="1"/>
  <c r="C28" i="86" s="1"/>
  <c r="C29" i="86" s="1"/>
  <c r="C30" i="86" s="1"/>
  <c r="C31" i="86" s="1"/>
  <c r="C32" i="86" s="1"/>
  <c r="C33" i="86" s="1"/>
  <c r="C34" i="86" s="1"/>
  <c r="C35" i="86" s="1"/>
  <c r="C36" i="86" s="1"/>
  <c r="C37" i="86" s="1"/>
  <c r="C38" i="86" s="1"/>
  <c r="C39" i="86" s="1"/>
  <c r="C40" i="86" s="1"/>
  <c r="C12" i="49"/>
  <c r="C13" i="49" s="1"/>
  <c r="C14" i="49" s="1"/>
  <c r="C15" i="49" s="1"/>
  <c r="C16" i="49" s="1"/>
  <c r="C17" i="49" s="1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12" i="53"/>
  <c r="C13" i="53" s="1"/>
  <c r="C14" i="53" s="1"/>
  <c r="C15" i="53" s="1"/>
  <c r="C16" i="53" s="1"/>
  <c r="C17" i="53" s="1"/>
  <c r="C18" i="53" s="1"/>
  <c r="C19" i="53" s="1"/>
  <c r="C20" i="53" s="1"/>
  <c r="C21" i="53" s="1"/>
  <c r="C22" i="53" s="1"/>
  <c r="C23" i="53" s="1"/>
  <c r="C24" i="53" s="1"/>
  <c r="C25" i="53" s="1"/>
  <c r="C26" i="53" s="1"/>
  <c r="C27" i="53" s="1"/>
  <c r="C28" i="53" s="1"/>
  <c r="C29" i="53" s="1"/>
  <c r="C30" i="53" s="1"/>
  <c r="C31" i="53" s="1"/>
  <c r="C32" i="53" s="1"/>
  <c r="C33" i="53" s="1"/>
  <c r="C34" i="53" s="1"/>
  <c r="C35" i="53" s="1"/>
  <c r="C36" i="53" s="1"/>
  <c r="C37" i="53" s="1"/>
  <c r="C38" i="53" s="1"/>
  <c r="C39" i="53" s="1"/>
  <c r="C40" i="53" s="1"/>
  <c r="C41" i="53" s="1"/>
  <c r="N65" i="84"/>
  <c r="L65" i="84"/>
  <c r="M65" i="84" s="1"/>
  <c r="J4" i="84"/>
  <c r="K4" i="84" s="1"/>
  <c r="N4" i="84" s="1"/>
  <c r="S4" i="84" s="1"/>
  <c r="X4" i="84" s="1"/>
  <c r="AC4" i="84" s="1"/>
  <c r="J23" i="84"/>
  <c r="K23" i="84" s="1"/>
  <c r="N27" i="84"/>
  <c r="S27" i="84" s="1"/>
  <c r="X27" i="84" s="1"/>
  <c r="AC27" i="84" s="1"/>
  <c r="L27" i="84"/>
  <c r="Q27" i="84" s="1"/>
  <c r="V27" i="84" s="1"/>
  <c r="AA27" i="84" s="1"/>
  <c r="AF27" i="84" s="1"/>
  <c r="AH27" i="84" s="1"/>
  <c r="AJ27" i="84" s="1"/>
  <c r="AL27" i="84" s="1"/>
  <c r="AN27" i="84" s="1"/>
  <c r="AP27" i="84" s="1"/>
  <c r="AR27" i="84" s="1"/>
  <c r="AT27" i="84" s="1"/>
  <c r="AV27" i="84" s="1"/>
  <c r="AX27" i="84" s="1"/>
  <c r="AZ27" i="84" s="1"/>
  <c r="BB27" i="84" s="1"/>
  <c r="BD27" i="84" s="1"/>
  <c r="BF27" i="84" s="1"/>
  <c r="BH27" i="84" s="1"/>
  <c r="BJ27" i="84" s="1"/>
  <c r="BL27" i="84" s="1"/>
  <c r="BN27" i="84" s="1"/>
  <c r="BP27" i="84" s="1"/>
  <c r="BR27" i="84" s="1"/>
  <c r="BT27" i="84" s="1"/>
  <c r="BV27" i="84" s="1"/>
  <c r="BX27" i="84" s="1"/>
  <c r="BZ27" i="84" s="1"/>
  <c r="CB27" i="84" s="1"/>
  <c r="CD27" i="84" s="1"/>
  <c r="CF27" i="84" s="1"/>
  <c r="CH27" i="84" s="1"/>
  <c r="CJ27" i="84" s="1"/>
  <c r="K59" i="84"/>
  <c r="P59" i="84" s="1"/>
  <c r="U59" i="84" s="1"/>
  <c r="Z59" i="84" s="1"/>
  <c r="AE59" i="84" s="1"/>
  <c r="AG59" i="84" s="1"/>
  <c r="K44" i="52"/>
  <c r="C12" i="51"/>
  <c r="C13" i="51" s="1"/>
  <c r="C14" i="51" s="1"/>
  <c r="C15" i="51" s="1"/>
  <c r="C16" i="51" s="1"/>
  <c r="C17" i="51" s="1"/>
  <c r="C18" i="51" s="1"/>
  <c r="C19" i="51" s="1"/>
  <c r="C20" i="51" s="1"/>
  <c r="C21" i="51" s="1"/>
  <c r="C22" i="51" s="1"/>
  <c r="C23" i="51" s="1"/>
  <c r="C24" i="51" s="1"/>
  <c r="C25" i="51" s="1"/>
  <c r="C26" i="51" s="1"/>
  <c r="C27" i="51" s="1"/>
  <c r="C28" i="51" s="1"/>
  <c r="C29" i="51" s="1"/>
  <c r="C30" i="51" s="1"/>
  <c r="C31" i="51" s="1"/>
  <c r="C32" i="51" s="1"/>
  <c r="C33" i="51" s="1"/>
  <c r="C34" i="51" s="1"/>
  <c r="C35" i="51" s="1"/>
  <c r="C36" i="51" s="1"/>
  <c r="C37" i="51" s="1"/>
  <c r="C38" i="51" s="1"/>
  <c r="C39" i="51" s="1"/>
  <c r="C40" i="51" s="1"/>
  <c r="C41" i="51" s="1"/>
  <c r="C12" i="43"/>
  <c r="C13" i="43" s="1"/>
  <c r="C14" i="43" s="1"/>
  <c r="C15" i="43" s="1"/>
  <c r="C16" i="43" s="1"/>
  <c r="C17" i="43" s="1"/>
  <c r="C18" i="43" s="1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K44" i="44"/>
  <c r="K44" i="47"/>
  <c r="K44" i="50"/>
  <c r="Q73" i="71"/>
  <c r="K52" i="2" s="1"/>
  <c r="K73" i="71"/>
  <c r="K52" i="53" s="1"/>
  <c r="M73" i="71"/>
  <c r="K52" i="86" s="1"/>
  <c r="D34" i="1"/>
  <c r="K44" i="45"/>
  <c r="J33" i="84"/>
  <c r="K33" i="84" s="1"/>
  <c r="P42" i="84"/>
  <c r="U42" i="84" s="1"/>
  <c r="Z42" i="84" s="1"/>
  <c r="AE42" i="84" s="1"/>
  <c r="AG42" i="84" s="1"/>
  <c r="AI42" i="84" s="1"/>
  <c r="AK42" i="84" s="1"/>
  <c r="AM42" i="84" s="1"/>
  <c r="AO42" i="84" s="1"/>
  <c r="AQ42" i="84" s="1"/>
  <c r="AS42" i="84" s="1"/>
  <c r="L42" i="84"/>
  <c r="Q42" i="84" s="1"/>
  <c r="V42" i="84" s="1"/>
  <c r="AA42" i="84" s="1"/>
  <c r="AF42" i="84" s="1"/>
  <c r="AH42" i="84" s="1"/>
  <c r="AJ42" i="84" s="1"/>
  <c r="AL42" i="84" s="1"/>
  <c r="AN42" i="84" s="1"/>
  <c r="O42" i="84"/>
  <c r="T42" i="84" s="1"/>
  <c r="Y42" i="84" s="1"/>
  <c r="AD42" i="84" s="1"/>
  <c r="M42" i="84"/>
  <c r="R42" i="84" s="1"/>
  <c r="W42" i="84" s="1"/>
  <c r="AB42" i="84" s="1"/>
  <c r="J41" i="84"/>
  <c r="K41" i="84" s="1"/>
  <c r="N41" i="84" s="1"/>
  <c r="N28" i="84"/>
  <c r="L28" i="84"/>
  <c r="J16" i="84"/>
  <c r="K16" i="84" s="1"/>
  <c r="M9" i="84"/>
  <c r="L9" i="84"/>
  <c r="J44" i="84"/>
  <c r="K44" i="84" s="1"/>
  <c r="J49" i="84"/>
  <c r="K49" i="84" s="1"/>
  <c r="L48" i="84"/>
  <c r="Q48" i="84" s="1"/>
  <c r="V48" i="84" s="1"/>
  <c r="AA48" i="84" s="1"/>
  <c r="AF48" i="84" s="1"/>
  <c r="AH48" i="84" s="1"/>
  <c r="AJ48" i="84" s="1"/>
  <c r="AL48" i="84" s="1"/>
  <c r="AN48" i="84" s="1"/>
  <c r="AP48" i="84" s="1"/>
  <c r="AR48" i="84" s="1"/>
  <c r="AT48" i="84" s="1"/>
  <c r="AV48" i="84" s="1"/>
  <c r="AX48" i="84" s="1"/>
  <c r="AZ48" i="84" s="1"/>
  <c r="BB48" i="84" s="1"/>
  <c r="BD48" i="84" s="1"/>
  <c r="BF48" i="84" s="1"/>
  <c r="BH48" i="84" s="1"/>
  <c r="BJ48" i="84" s="1"/>
  <c r="BL48" i="84" s="1"/>
  <c r="BN48" i="84" s="1"/>
  <c r="BP48" i="84" s="1"/>
  <c r="BR48" i="84" s="1"/>
  <c r="BT48" i="84" s="1"/>
  <c r="BV48" i="84" s="1"/>
  <c r="BX48" i="84" s="1"/>
  <c r="BZ48" i="84" s="1"/>
  <c r="CB48" i="84" s="1"/>
  <c r="CD48" i="84" s="1"/>
  <c r="CF48" i="84" s="1"/>
  <c r="CH48" i="84" s="1"/>
  <c r="CJ48" i="84" s="1"/>
  <c r="O48" i="84"/>
  <c r="T48" i="84" s="1"/>
  <c r="Y48" i="84" s="1"/>
  <c r="AD48" i="84" s="1"/>
  <c r="O18" i="84"/>
  <c r="T18" i="84" s="1"/>
  <c r="Y18" i="84" s="1"/>
  <c r="AD18" i="84" s="1"/>
  <c r="K36" i="84"/>
  <c r="W36" i="84" s="1"/>
  <c r="O24" i="84"/>
  <c r="K38" i="84"/>
  <c r="M38" i="84" s="1"/>
  <c r="C12" i="44"/>
  <c r="C13" i="44" s="1"/>
  <c r="C14" i="44" s="1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12" i="74"/>
  <c r="C13" i="74" s="1"/>
  <c r="C14" i="74" s="1"/>
  <c r="C15" i="74" s="1"/>
  <c r="C16" i="74" s="1"/>
  <c r="C17" i="74" s="1"/>
  <c r="C18" i="74" s="1"/>
  <c r="C19" i="74" s="1"/>
  <c r="C20" i="74" s="1"/>
  <c r="C21" i="74" s="1"/>
  <c r="C22" i="74" s="1"/>
  <c r="C23" i="74" s="1"/>
  <c r="C24" i="74" s="1"/>
  <c r="C25" i="74" s="1"/>
  <c r="C26" i="74" s="1"/>
  <c r="C27" i="74" s="1"/>
  <c r="C28" i="74" s="1"/>
  <c r="C29" i="74" s="1"/>
  <c r="C30" i="74" s="1"/>
  <c r="C31" i="74" s="1"/>
  <c r="C32" i="74" s="1"/>
  <c r="C33" i="74" s="1"/>
  <c r="C34" i="74" s="1"/>
  <c r="C35" i="74" s="1"/>
  <c r="C36" i="74" s="1"/>
  <c r="C37" i="74" s="1"/>
  <c r="C38" i="74" s="1"/>
  <c r="C39" i="74" s="1"/>
  <c r="C40" i="74" s="1"/>
  <c r="C12" i="50"/>
  <c r="C13" i="50" s="1"/>
  <c r="C14" i="50" s="1"/>
  <c r="C15" i="50" s="1"/>
  <c r="C16" i="50" s="1"/>
  <c r="C17" i="50" s="1"/>
  <c r="C18" i="50" s="1"/>
  <c r="C19" i="50" s="1"/>
  <c r="C20" i="50" s="1"/>
  <c r="C21" i="50" s="1"/>
  <c r="C22" i="50" s="1"/>
  <c r="C23" i="50" s="1"/>
  <c r="C24" i="50" s="1"/>
  <c r="C25" i="50" s="1"/>
  <c r="C26" i="50" s="1"/>
  <c r="C27" i="50" s="1"/>
  <c r="C28" i="50" s="1"/>
  <c r="C29" i="50" s="1"/>
  <c r="C30" i="50" s="1"/>
  <c r="C31" i="50" s="1"/>
  <c r="C32" i="50" s="1"/>
  <c r="C33" i="50" s="1"/>
  <c r="C34" i="50" s="1"/>
  <c r="C35" i="50" s="1"/>
  <c r="C36" i="50" s="1"/>
  <c r="C37" i="50" s="1"/>
  <c r="C38" i="50" s="1"/>
  <c r="C39" i="50" s="1"/>
  <c r="C40" i="50" s="1"/>
  <c r="C41" i="50" s="1"/>
  <c r="I4" i="62"/>
  <c r="A6" i="62" s="1"/>
  <c r="Q14" i="82"/>
  <c r="U9" i="82" s="1"/>
  <c r="O9" i="82"/>
  <c r="K47" i="50" s="1"/>
  <c r="O5" i="82"/>
  <c r="K47" i="45" s="1"/>
  <c r="K47" i="47"/>
  <c r="Q15" i="82"/>
  <c r="Q6" i="82"/>
  <c r="K47" i="52"/>
  <c r="Q8" i="82"/>
  <c r="K47" i="44"/>
  <c r="Q13" i="82"/>
  <c r="K47" i="48"/>
  <c r="F14" i="82"/>
  <c r="G14" i="82"/>
  <c r="Q10" i="82"/>
  <c r="Q4" i="82"/>
  <c r="J46" i="1"/>
  <c r="M16" i="85"/>
  <c r="K44" i="41"/>
  <c r="K44" i="42"/>
  <c r="K53" i="42" s="1"/>
  <c r="K44" i="43"/>
  <c r="K44" i="49"/>
  <c r="K53" i="49" s="1"/>
  <c r="K44" i="2"/>
  <c r="L15" i="84"/>
  <c r="Q15" i="84" s="1"/>
  <c r="V15" i="84" s="1"/>
  <c r="AA15" i="84" s="1"/>
  <c r="AF15" i="84" s="1"/>
  <c r="AH15" i="84" s="1"/>
  <c r="AJ15" i="84" s="1"/>
  <c r="AL15" i="84" s="1"/>
  <c r="AN15" i="84" s="1"/>
  <c r="AP15" i="84" s="1"/>
  <c r="AR15" i="84" s="1"/>
  <c r="AT15" i="84" s="1"/>
  <c r="N15" i="84"/>
  <c r="S15" i="84" s="1"/>
  <c r="X15" i="84" s="1"/>
  <c r="AC15" i="84" s="1"/>
  <c r="O15" i="84"/>
  <c r="T15" i="84" s="1"/>
  <c r="Y15" i="84" s="1"/>
  <c r="AD15" i="84" s="1"/>
  <c r="M15" i="84"/>
  <c r="R15" i="84" s="1"/>
  <c r="W15" i="84" s="1"/>
  <c r="AB15" i="84" s="1"/>
  <c r="P15" i="84"/>
  <c r="U15" i="84" s="1"/>
  <c r="Z15" i="84" s="1"/>
  <c r="AE15" i="84" s="1"/>
  <c r="AG15" i="84" s="1"/>
  <c r="AI15" i="84" s="1"/>
  <c r="AK15" i="84" s="1"/>
  <c r="AM15" i="84" s="1"/>
  <c r="J57" i="41"/>
  <c r="I37" i="1" s="1"/>
  <c r="J57" i="42"/>
  <c r="I35" i="1" s="1"/>
  <c r="J57" i="43"/>
  <c r="I34" i="1" s="1"/>
  <c r="J57" i="44"/>
  <c r="I32" i="1" s="1"/>
  <c r="J57" i="53"/>
  <c r="I31" i="1" s="1"/>
  <c r="H38" i="1"/>
  <c r="J57" i="45"/>
  <c r="I30" i="1" s="1"/>
  <c r="J57" i="47"/>
  <c r="I29" i="1" s="1"/>
  <c r="J57" i="49"/>
  <c r="I27" i="1" s="1"/>
  <c r="J57" i="48"/>
  <c r="I28" i="1" s="1"/>
  <c r="J57" i="50"/>
  <c r="I26" i="1" s="1"/>
  <c r="J56" i="52"/>
  <c r="J57" i="2"/>
  <c r="I24" i="1" s="1"/>
  <c r="N31" i="84"/>
  <c r="S31" i="84" s="1"/>
  <c r="X31" i="84" s="1"/>
  <c r="AC31" i="84" s="1"/>
  <c r="P31" i="84"/>
  <c r="U31" i="84" s="1"/>
  <c r="Z31" i="84" s="1"/>
  <c r="AE31" i="84" s="1"/>
  <c r="O31" i="84"/>
  <c r="T31" i="84" s="1"/>
  <c r="Y31" i="84" s="1"/>
  <c r="AD31" i="84" s="1"/>
  <c r="L31" i="84"/>
  <c r="Q31" i="84" s="1"/>
  <c r="V31" i="84" s="1"/>
  <c r="AA31" i="84" s="1"/>
  <c r="AF31" i="84" s="1"/>
  <c r="AH31" i="84" s="1"/>
  <c r="AJ31" i="84" s="1"/>
  <c r="M31" i="84"/>
  <c r="R31" i="84" s="1"/>
  <c r="W31" i="84" s="1"/>
  <c r="AB31" i="84" s="1"/>
  <c r="J12" i="84"/>
  <c r="K12" i="84" s="1"/>
  <c r="Z45" i="84"/>
  <c r="AA45" i="84"/>
  <c r="O45" i="84"/>
  <c r="T45" i="84" s="1"/>
  <c r="N45" i="84"/>
  <c r="S45" i="84" s="1"/>
  <c r="X45" i="84" s="1"/>
  <c r="L45" i="84"/>
  <c r="Q45" i="84" s="1"/>
  <c r="J54" i="84"/>
  <c r="K54" i="84" s="1"/>
  <c r="AC45" i="84"/>
  <c r="M45" i="84"/>
  <c r="R45" i="84" s="1"/>
  <c r="J26" i="84"/>
  <c r="K26" i="84" s="1"/>
  <c r="N42" i="84"/>
  <c r="S42" i="84" s="1"/>
  <c r="M48" i="84"/>
  <c r="R48" i="84" s="1"/>
  <c r="W48" i="84" s="1"/>
  <c r="AB48" i="84" s="1"/>
  <c r="J61" i="84"/>
  <c r="K61" i="84" s="1"/>
  <c r="M28" i="84"/>
  <c r="O28" i="84"/>
  <c r="P62" i="84"/>
  <c r="U62" i="84" s="1"/>
  <c r="Z62" i="84" s="1"/>
  <c r="J56" i="84"/>
  <c r="K56" i="84" s="1"/>
  <c r="N48" i="84"/>
  <c r="S48" i="84" s="1"/>
  <c r="X48" i="84" s="1"/>
  <c r="AC48" i="84" s="1"/>
  <c r="P48" i="84"/>
  <c r="U48" i="84" s="1"/>
  <c r="Z48" i="84" s="1"/>
  <c r="AE48" i="84" s="1"/>
  <c r="AG48" i="84" s="1"/>
  <c r="AI48" i="84" s="1"/>
  <c r="AK48" i="84" s="1"/>
  <c r="AM48" i="84" s="1"/>
  <c r="AO48" i="84" s="1"/>
  <c r="AQ48" i="84" s="1"/>
  <c r="AS48" i="84" s="1"/>
  <c r="AU48" i="84" s="1"/>
  <c r="AW48" i="84" s="1"/>
  <c r="AY48" i="84" s="1"/>
  <c r="BA48" i="84" s="1"/>
  <c r="BC48" i="84" s="1"/>
  <c r="BE48" i="84" s="1"/>
  <c r="BG48" i="84" s="1"/>
  <c r="BI48" i="84" s="1"/>
  <c r="BK48" i="84" s="1"/>
  <c r="BM48" i="84" s="1"/>
  <c r="BO48" i="84" s="1"/>
  <c r="BQ48" i="84" s="1"/>
  <c r="BS48" i="84" s="1"/>
  <c r="BU48" i="84" s="1"/>
  <c r="BW48" i="84" s="1"/>
  <c r="BY48" i="84" s="1"/>
  <c r="CA48" i="84" s="1"/>
  <c r="CC48" i="84" s="1"/>
  <c r="CE48" i="84" s="1"/>
  <c r="CG48" i="84" s="1"/>
  <c r="CI48" i="84" s="1"/>
  <c r="P28" i="84"/>
  <c r="J17" i="84"/>
  <c r="K17" i="84" s="1"/>
  <c r="M47" i="84"/>
  <c r="R47" i="84" s="1"/>
  <c r="W47" i="84" s="1"/>
  <c r="AB47" i="84" s="1"/>
  <c r="N47" i="84"/>
  <c r="S47" i="84" s="1"/>
  <c r="X47" i="84" s="1"/>
  <c r="AC47" i="84" s="1"/>
  <c r="P47" i="84"/>
  <c r="U47" i="84" s="1"/>
  <c r="Z47" i="84" s="1"/>
  <c r="AE47" i="84" s="1"/>
  <c r="AG47" i="84" s="1"/>
  <c r="AI47" i="84" s="1"/>
  <c r="AK47" i="84" s="1"/>
  <c r="O47" i="84"/>
  <c r="T47" i="84" s="1"/>
  <c r="Y47" i="84" s="1"/>
  <c r="AD47" i="84" s="1"/>
  <c r="P18" i="84"/>
  <c r="M18" i="84"/>
  <c r="R18" i="84" s="1"/>
  <c r="L18" i="84"/>
  <c r="Q18" i="84" s="1"/>
  <c r="V18" i="84" s="1"/>
  <c r="AA18" i="84" s="1"/>
  <c r="AF18" i="84" s="1"/>
  <c r="AH18" i="84" s="1"/>
  <c r="J19" i="84"/>
  <c r="K19" i="84" s="1"/>
  <c r="J39" i="84"/>
  <c r="K39" i="84" s="1"/>
  <c r="J14" i="84"/>
  <c r="K14" i="84" s="1"/>
  <c r="J68" i="84"/>
  <c r="K68" i="84" s="1"/>
  <c r="K10" i="84"/>
  <c r="M29" i="84"/>
  <c r="T29" i="84"/>
  <c r="O29" i="84"/>
  <c r="L29" i="84"/>
  <c r="U29" i="84"/>
  <c r="N29" i="84"/>
  <c r="J63" i="84"/>
  <c r="K63" i="84" s="1"/>
  <c r="J35" i="84"/>
  <c r="K35" i="84" s="1"/>
  <c r="L35" i="84" s="1"/>
  <c r="J40" i="84"/>
  <c r="K40" i="84" s="1"/>
  <c r="J58" i="84"/>
  <c r="K58" i="84" s="1"/>
  <c r="J66" i="84"/>
  <c r="K66" i="84" s="1"/>
  <c r="J6" i="84"/>
  <c r="K6" i="84" s="1"/>
  <c r="N36" i="84"/>
  <c r="S36" i="84" s="1"/>
  <c r="K34" i="84"/>
  <c r="J32" i="84"/>
  <c r="K32" i="84" s="1"/>
  <c r="J67" i="84"/>
  <c r="K67" i="84" s="1"/>
  <c r="K64" i="84"/>
  <c r="K7" i="84"/>
  <c r="K37" i="84"/>
  <c r="K57" i="84"/>
  <c r="K25" i="84"/>
  <c r="K13" i="84"/>
  <c r="L13" i="84" s="1"/>
  <c r="J46" i="84"/>
  <c r="K46" i="84" s="1"/>
  <c r="J53" i="84"/>
  <c r="K53" i="84" s="1"/>
  <c r="K8" i="84"/>
  <c r="L8" i="84" s="1"/>
  <c r="K21" i="84"/>
  <c r="K30" i="84"/>
  <c r="J69" i="84"/>
  <c r="K69" i="84" s="1"/>
  <c r="J22" i="84"/>
  <c r="K22" i="84" s="1"/>
  <c r="K11" i="84"/>
  <c r="K43" i="84"/>
  <c r="J51" i="84"/>
  <c r="K51" i="84" s="1"/>
  <c r="K70" i="84"/>
  <c r="K5" i="84"/>
  <c r="I71" i="84"/>
  <c r="J60" i="84"/>
  <c r="K60" i="84" s="1"/>
  <c r="K52" i="84"/>
  <c r="K44" i="48"/>
  <c r="E189" i="70"/>
  <c r="F35" i="1"/>
  <c r="G31" i="1"/>
  <c r="D30" i="1"/>
  <c r="E38" i="1"/>
  <c r="F27" i="1"/>
  <c r="F28" i="1"/>
  <c r="F26" i="1"/>
  <c r="J57" i="52"/>
  <c r="I25" i="1" s="1"/>
  <c r="C12" i="52"/>
  <c r="C13" i="52" s="1"/>
  <c r="C14" i="52" s="1"/>
  <c r="C15" i="52" s="1"/>
  <c r="C16" i="52" s="1"/>
  <c r="C17" i="52" s="1"/>
  <c r="C18" i="52" s="1"/>
  <c r="C19" i="52" s="1"/>
  <c r="C20" i="52" s="1"/>
  <c r="C21" i="52" s="1"/>
  <c r="C22" i="52" s="1"/>
  <c r="C23" i="52" s="1"/>
  <c r="C24" i="52" s="1"/>
  <c r="C25" i="52" s="1"/>
  <c r="C26" i="52" s="1"/>
  <c r="C27" i="52" s="1"/>
  <c r="C28" i="52" s="1"/>
  <c r="C29" i="52" s="1"/>
  <c r="C30" i="52" s="1"/>
  <c r="C31" i="52" s="1"/>
  <c r="C32" i="52" s="1"/>
  <c r="C33" i="52" s="1"/>
  <c r="C34" i="52" s="1"/>
  <c r="C35" i="52" s="1"/>
  <c r="C36" i="52" s="1"/>
  <c r="C37" i="52" s="1"/>
  <c r="C38" i="52" s="1"/>
  <c r="C39" i="52" s="1"/>
  <c r="C40" i="52" s="1"/>
  <c r="C41" i="52" s="1"/>
  <c r="C12" i="45"/>
  <c r="C13" i="45" s="1"/>
  <c r="C14" i="45" s="1"/>
  <c r="C15" i="45" s="1"/>
  <c r="C16" i="45" s="1"/>
  <c r="C17" i="45" s="1"/>
  <c r="C18" i="45" s="1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12" i="48"/>
  <c r="C13" i="48" s="1"/>
  <c r="C14" i="48" s="1"/>
  <c r="C15" i="48" s="1"/>
  <c r="C16" i="48" s="1"/>
  <c r="C17" i="48" s="1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12" i="41"/>
  <c r="C13" i="41" s="1"/>
  <c r="C14" i="41" s="1"/>
  <c r="C15" i="41" s="1"/>
  <c r="C16" i="41" s="1"/>
  <c r="C17" i="41" s="1"/>
  <c r="C18" i="41" s="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K1" i="66"/>
  <c r="L1" i="66"/>
  <c r="M1" i="66" s="1"/>
  <c r="A6" i="64"/>
  <c r="A6" i="61"/>
  <c r="J28" i="1" l="1"/>
  <c r="J35" i="1"/>
  <c r="J34" i="1"/>
  <c r="J31" i="1"/>
  <c r="J27" i="1"/>
  <c r="J26" i="1"/>
  <c r="J30" i="1"/>
  <c r="T6" i="82"/>
  <c r="U6" i="82"/>
  <c r="X6" i="82"/>
  <c r="K53" i="86"/>
  <c r="K59" i="86" s="1"/>
  <c r="V6" i="82"/>
  <c r="L36" i="84"/>
  <c r="Q36" i="84" s="1"/>
  <c r="V36" i="84" s="1"/>
  <c r="N24" i="84"/>
  <c r="L55" i="84"/>
  <c r="Q55" i="84" s="1"/>
  <c r="V55" i="84" s="1"/>
  <c r="AA55" i="84" s="1"/>
  <c r="AF55" i="84" s="1"/>
  <c r="AH55" i="84" s="1"/>
  <c r="AJ55" i="84" s="1"/>
  <c r="AL55" i="84" s="1"/>
  <c r="AN55" i="84" s="1"/>
  <c r="AP55" i="84" s="1"/>
  <c r="AR55" i="84" s="1"/>
  <c r="AT55" i="84" s="1"/>
  <c r="AV55" i="84" s="1"/>
  <c r="AX55" i="84" s="1"/>
  <c r="AZ55" i="84" s="1"/>
  <c r="BB55" i="84" s="1"/>
  <c r="BD55" i="84" s="1"/>
  <c r="BF55" i="84" s="1"/>
  <c r="BH55" i="84" s="1"/>
  <c r="BJ55" i="84" s="1"/>
  <c r="BL55" i="84" s="1"/>
  <c r="BN55" i="84" s="1"/>
  <c r="BP55" i="84" s="1"/>
  <c r="BR55" i="84" s="1"/>
  <c r="BT55" i="84" s="1"/>
  <c r="BV55" i="84" s="1"/>
  <c r="BX55" i="84" s="1"/>
  <c r="BZ55" i="84" s="1"/>
  <c r="CB55" i="84" s="1"/>
  <c r="CD55" i="84" s="1"/>
  <c r="CF55" i="84" s="1"/>
  <c r="CH55" i="84" s="1"/>
  <c r="CJ55" i="84" s="1"/>
  <c r="O36" i="84"/>
  <c r="T36" i="84" s="1"/>
  <c r="P24" i="84"/>
  <c r="O55" i="84"/>
  <c r="T55" i="84" s="1"/>
  <c r="Y55" i="84" s="1"/>
  <c r="AD55" i="84" s="1"/>
  <c r="S24" i="84"/>
  <c r="L24" i="84"/>
  <c r="Q24" i="84" s="1"/>
  <c r="C38" i="1"/>
  <c r="O38" i="84"/>
  <c r="M62" i="84"/>
  <c r="R62" i="84" s="1"/>
  <c r="W62" i="84" s="1"/>
  <c r="AB62" i="84" s="1"/>
  <c r="M4" i="84"/>
  <c r="R4" i="84" s="1"/>
  <c r="W4" i="84" s="1"/>
  <c r="AB4" i="84" s="1"/>
  <c r="L38" i="84"/>
  <c r="L62" i="84"/>
  <c r="Q62" i="84" s="1"/>
  <c r="V62" i="84" s="1"/>
  <c r="AA62" i="84" s="1"/>
  <c r="O59" i="84"/>
  <c r="T59" i="84" s="1"/>
  <c r="Y59" i="84" s="1"/>
  <c r="AD59" i="84" s="1"/>
  <c r="AD91" i="84" s="1"/>
  <c r="N38" i="84"/>
  <c r="AE62" i="84"/>
  <c r="AE91" i="84" s="1"/>
  <c r="O4" i="84"/>
  <c r="T4" i="84" s="1"/>
  <c r="Y4" i="84" s="1"/>
  <c r="AD4" i="84" s="1"/>
  <c r="N59" i="84"/>
  <c r="S59" i="84" s="1"/>
  <c r="X59" i="84" s="1"/>
  <c r="AC59" i="84" s="1"/>
  <c r="N62" i="84"/>
  <c r="S62" i="84" s="1"/>
  <c r="X62" i="84" s="1"/>
  <c r="AC62" i="84" s="1"/>
  <c r="N50" i="84"/>
  <c r="S50" i="84" s="1"/>
  <c r="X50" i="84" s="1"/>
  <c r="AC50" i="84" s="1"/>
  <c r="L59" i="84"/>
  <c r="Q59" i="84" s="1"/>
  <c r="V59" i="84" s="1"/>
  <c r="AA59" i="84" s="1"/>
  <c r="M55" i="84"/>
  <c r="R55" i="84" s="1"/>
  <c r="W55" i="84" s="1"/>
  <c r="AB55" i="84" s="1"/>
  <c r="N55" i="84"/>
  <c r="S55" i="84" s="1"/>
  <c r="X55" i="84" s="1"/>
  <c r="AC55" i="84" s="1"/>
  <c r="L50" i="84"/>
  <c r="Q50" i="84" s="1"/>
  <c r="V50" i="84" s="1"/>
  <c r="AA50" i="84" s="1"/>
  <c r="AF50" i="84" s="1"/>
  <c r="P50" i="84"/>
  <c r="U50" i="84" s="1"/>
  <c r="Z50" i="84" s="1"/>
  <c r="AE50" i="84" s="1"/>
  <c r="AG50" i="84" s="1"/>
  <c r="M50" i="84"/>
  <c r="R50" i="84" s="1"/>
  <c r="W50" i="84" s="1"/>
  <c r="AB50" i="84" s="1"/>
  <c r="K53" i="47"/>
  <c r="K59" i="47" s="1"/>
  <c r="P9" i="82"/>
  <c r="K48" i="50" s="1"/>
  <c r="J45" i="1" s="1"/>
  <c r="L23" i="84"/>
  <c r="M23" i="84"/>
  <c r="O23" i="84"/>
  <c r="N23" i="84"/>
  <c r="L4" i="84"/>
  <c r="Q4" i="84" s="1"/>
  <c r="V4" i="84" s="1"/>
  <c r="AA4" i="84" s="1"/>
  <c r="AF4" i="84" s="1"/>
  <c r="AH4" i="84" s="1"/>
  <c r="AJ4" i="84" s="1"/>
  <c r="P4" i="84"/>
  <c r="U4" i="84" s="1"/>
  <c r="Z4" i="84" s="1"/>
  <c r="AE4" i="84" s="1"/>
  <c r="AG4" i="84" s="1"/>
  <c r="AI4" i="84" s="1"/>
  <c r="AK4" i="84" s="1"/>
  <c r="AM4" i="84" s="1"/>
  <c r="M59" i="84"/>
  <c r="R59" i="84" s="1"/>
  <c r="W59" i="84" s="1"/>
  <c r="AB59" i="84" s="1"/>
  <c r="R74" i="71"/>
  <c r="J50" i="1" s="1"/>
  <c r="K52" i="41"/>
  <c r="K59" i="42"/>
  <c r="K59" i="49"/>
  <c r="N16" i="84"/>
  <c r="S16" i="84" s="1"/>
  <c r="X16" i="84" s="1"/>
  <c r="AC16" i="84" s="1"/>
  <c r="O16" i="84"/>
  <c r="T16" i="84" s="1"/>
  <c r="Y16" i="84" s="1"/>
  <c r="AD16" i="84" s="1"/>
  <c r="P16" i="84"/>
  <c r="U16" i="84" s="1"/>
  <c r="Z16" i="84" s="1"/>
  <c r="AE16" i="84" s="1"/>
  <c r="AG16" i="84" s="1"/>
  <c r="AI16" i="84" s="1"/>
  <c r="AK16" i="84" s="1"/>
  <c r="AM16" i="84" s="1"/>
  <c r="AO16" i="84" s="1"/>
  <c r="AQ16" i="84" s="1"/>
  <c r="AS16" i="84" s="1"/>
  <c r="AU16" i="84" s="1"/>
  <c r="AW16" i="84" s="1"/>
  <c r="AY16" i="84" s="1"/>
  <c r="BA16" i="84" s="1"/>
  <c r="BC16" i="84" s="1"/>
  <c r="BE16" i="84" s="1"/>
  <c r="BG16" i="84" s="1"/>
  <c r="BI16" i="84" s="1"/>
  <c r="BK16" i="84" s="1"/>
  <c r="BM16" i="84" s="1"/>
  <c r="BO16" i="84" s="1"/>
  <c r="BQ16" i="84" s="1"/>
  <c r="BS16" i="84" s="1"/>
  <c r="BU16" i="84" s="1"/>
  <c r="BW16" i="84" s="1"/>
  <c r="BY16" i="84" s="1"/>
  <c r="CA16" i="84" s="1"/>
  <c r="CC16" i="84" s="1"/>
  <c r="CE16" i="84" s="1"/>
  <c r="CG16" i="84" s="1"/>
  <c r="CI16" i="84" s="1"/>
  <c r="L16" i="84"/>
  <c r="Q16" i="84" s="1"/>
  <c r="V16" i="84" s="1"/>
  <c r="AA16" i="84" s="1"/>
  <c r="AF16" i="84" s="1"/>
  <c r="AH16" i="84" s="1"/>
  <c r="AJ16" i="84" s="1"/>
  <c r="AL16" i="84" s="1"/>
  <c r="AN16" i="84" s="1"/>
  <c r="AP16" i="84" s="1"/>
  <c r="AR16" i="84" s="1"/>
  <c r="AT16" i="84" s="1"/>
  <c r="AV16" i="84" s="1"/>
  <c r="AX16" i="84" s="1"/>
  <c r="AZ16" i="84" s="1"/>
  <c r="BB16" i="84" s="1"/>
  <c r="BD16" i="84" s="1"/>
  <c r="BF16" i="84" s="1"/>
  <c r="BH16" i="84" s="1"/>
  <c r="BJ16" i="84" s="1"/>
  <c r="BL16" i="84" s="1"/>
  <c r="BN16" i="84" s="1"/>
  <c r="BP16" i="84" s="1"/>
  <c r="BR16" i="84" s="1"/>
  <c r="BT16" i="84" s="1"/>
  <c r="BV16" i="84" s="1"/>
  <c r="BX16" i="84" s="1"/>
  <c r="BZ16" i="84" s="1"/>
  <c r="CB16" i="84" s="1"/>
  <c r="CD16" i="84" s="1"/>
  <c r="CF16" i="84" s="1"/>
  <c r="CH16" i="84" s="1"/>
  <c r="CJ16" i="84" s="1"/>
  <c r="M16" i="84"/>
  <c r="R16" i="84" s="1"/>
  <c r="W16" i="84" s="1"/>
  <c r="AB16" i="84" s="1"/>
  <c r="L49" i="84"/>
  <c r="Q49" i="84" s="1"/>
  <c r="V49" i="84" s="1"/>
  <c r="AA49" i="84" s="1"/>
  <c r="M49" i="84"/>
  <c r="R49" i="84" s="1"/>
  <c r="W49" i="84" s="1"/>
  <c r="AB49" i="84" s="1"/>
  <c r="O49" i="84"/>
  <c r="T49" i="84" s="1"/>
  <c r="Y49" i="84" s="1"/>
  <c r="AD49" i="84"/>
  <c r="P49" i="84"/>
  <c r="U49" i="84" s="1"/>
  <c r="Z49" i="84" s="1"/>
  <c r="N49" i="84"/>
  <c r="S49" i="84" s="1"/>
  <c r="X49" i="84" s="1"/>
  <c r="AC49" i="84" s="1"/>
  <c r="L44" i="84"/>
  <c r="Q44" i="84" s="1"/>
  <c r="V44" i="84" s="1"/>
  <c r="AA44" i="84" s="1"/>
  <c r="AF44" i="84" s="1"/>
  <c r="AH44" i="84" s="1"/>
  <c r="AJ44" i="84" s="1"/>
  <c r="AL44" i="84" s="1"/>
  <c r="AN44" i="84" s="1"/>
  <c r="AP44" i="84" s="1"/>
  <c r="AR44" i="84" s="1"/>
  <c r="AT44" i="84" s="1"/>
  <c r="AV44" i="84" s="1"/>
  <c r="AX44" i="84" s="1"/>
  <c r="AZ44" i="84" s="1"/>
  <c r="BB44" i="84" s="1"/>
  <c r="BD44" i="84" s="1"/>
  <c r="BF44" i="84" s="1"/>
  <c r="BH44" i="84" s="1"/>
  <c r="BJ44" i="84" s="1"/>
  <c r="BL44" i="84" s="1"/>
  <c r="BN44" i="84" s="1"/>
  <c r="BP44" i="84" s="1"/>
  <c r="BR44" i="84" s="1"/>
  <c r="BT44" i="84" s="1"/>
  <c r="BV44" i="84" s="1"/>
  <c r="BX44" i="84" s="1"/>
  <c r="BZ44" i="84" s="1"/>
  <c r="CB44" i="84" s="1"/>
  <c r="CD44" i="84" s="1"/>
  <c r="CF44" i="84" s="1"/>
  <c r="CH44" i="84" s="1"/>
  <c r="CJ44" i="84" s="1"/>
  <c r="P44" i="84"/>
  <c r="U44" i="84" s="1"/>
  <c r="Z44" i="84" s="1"/>
  <c r="AE44" i="84" s="1"/>
  <c r="AG44" i="84" s="1"/>
  <c r="AI44" i="84" s="1"/>
  <c r="AK44" i="84" s="1"/>
  <c r="AM44" i="84" s="1"/>
  <c r="AO44" i="84" s="1"/>
  <c r="AQ44" i="84" s="1"/>
  <c r="AS44" i="84" s="1"/>
  <c r="AU44" i="84" s="1"/>
  <c r="AW44" i="84" s="1"/>
  <c r="AY44" i="84" s="1"/>
  <c r="BA44" i="84" s="1"/>
  <c r="BC44" i="84" s="1"/>
  <c r="BE44" i="84" s="1"/>
  <c r="BG44" i="84" s="1"/>
  <c r="BI44" i="84" s="1"/>
  <c r="BK44" i="84" s="1"/>
  <c r="BM44" i="84" s="1"/>
  <c r="BO44" i="84" s="1"/>
  <c r="BQ44" i="84" s="1"/>
  <c r="BS44" i="84" s="1"/>
  <c r="BU44" i="84" s="1"/>
  <c r="BW44" i="84" s="1"/>
  <c r="BY44" i="84" s="1"/>
  <c r="CA44" i="84" s="1"/>
  <c r="CC44" i="84" s="1"/>
  <c r="CE44" i="84" s="1"/>
  <c r="CG44" i="84" s="1"/>
  <c r="CI44" i="84" s="1"/>
  <c r="O44" i="84"/>
  <c r="T44" i="84" s="1"/>
  <c r="Y44" i="84" s="1"/>
  <c r="AD44" i="84" s="1"/>
  <c r="M44" i="84"/>
  <c r="R44" i="84" s="1"/>
  <c r="W44" i="84" s="1"/>
  <c r="AB44" i="84" s="1"/>
  <c r="N44" i="84"/>
  <c r="S44" i="84" s="1"/>
  <c r="X44" i="84" s="1"/>
  <c r="AC44" i="84" s="1"/>
  <c r="L41" i="84"/>
  <c r="M41" i="84"/>
  <c r="M36" i="84"/>
  <c r="R36" i="84" s="1"/>
  <c r="Q28" i="84"/>
  <c r="L84" i="84"/>
  <c r="L33" i="84"/>
  <c r="M33" i="84" s="1"/>
  <c r="N33" i="84"/>
  <c r="AI59" i="84"/>
  <c r="AG91" i="84"/>
  <c r="O41" i="84"/>
  <c r="P36" i="84"/>
  <c r="U36" i="84" s="1"/>
  <c r="N84" i="84"/>
  <c r="S28" i="84"/>
  <c r="D38" i="1"/>
  <c r="S9" i="82"/>
  <c r="W9" i="82" s="1"/>
  <c r="X9" i="82"/>
  <c r="V9" i="82"/>
  <c r="O16" i="82"/>
  <c r="Q5" i="82"/>
  <c r="V5" i="82" s="1"/>
  <c r="T9" i="82"/>
  <c r="J44" i="1"/>
  <c r="V8" i="82"/>
  <c r="U8" i="82"/>
  <c r="S8" i="82"/>
  <c r="W8" i="82" s="1"/>
  <c r="X8" i="82"/>
  <c r="T8" i="82"/>
  <c r="X5" i="82"/>
  <c r="U5" i="82"/>
  <c r="T4" i="82"/>
  <c r="T11" i="82" s="1"/>
  <c r="V4" i="82"/>
  <c r="V11" i="82" s="1"/>
  <c r="X4" i="82"/>
  <c r="X11" i="82" s="1"/>
  <c r="U4" i="82"/>
  <c r="U11" i="82" s="1"/>
  <c r="S4" i="82"/>
  <c r="V10" i="82"/>
  <c r="T10" i="82"/>
  <c r="U10" i="82"/>
  <c r="S10" i="82"/>
  <c r="W10" i="82" s="1"/>
  <c r="X10" i="82"/>
  <c r="J41" i="1"/>
  <c r="J71" i="84"/>
  <c r="I39" i="1"/>
  <c r="AJ86" i="84"/>
  <c r="AL31" i="84"/>
  <c r="M12" i="84"/>
  <c r="R12" i="84" s="1"/>
  <c r="W12" i="84" s="1"/>
  <c r="AB12" i="84" s="1"/>
  <c r="P12" i="84"/>
  <c r="U12" i="84" s="1"/>
  <c r="Z12" i="84" s="1"/>
  <c r="AE12" i="84" s="1"/>
  <c r="AG12" i="84" s="1"/>
  <c r="AI12" i="84" s="1"/>
  <c r="AK12" i="84" s="1"/>
  <c r="AM12" i="84" s="1"/>
  <c r="AO12" i="84" s="1"/>
  <c r="AQ12" i="84" s="1"/>
  <c r="AS12" i="84" s="1"/>
  <c r="AU12" i="84" s="1"/>
  <c r="AW12" i="84" s="1"/>
  <c r="AY12" i="84" s="1"/>
  <c r="BA12" i="84" s="1"/>
  <c r="BC12" i="84" s="1"/>
  <c r="BE12" i="84" s="1"/>
  <c r="BG12" i="84" s="1"/>
  <c r="BI12" i="84" s="1"/>
  <c r="BK12" i="84" s="1"/>
  <c r="BM12" i="84" s="1"/>
  <c r="BO12" i="84" s="1"/>
  <c r="BQ12" i="84" s="1"/>
  <c r="BS12" i="84" s="1"/>
  <c r="BU12" i="84" s="1"/>
  <c r="BW12" i="84" s="1"/>
  <c r="BY12" i="84" s="1"/>
  <c r="CA12" i="84" s="1"/>
  <c r="CC12" i="84" s="1"/>
  <c r="O12" i="84"/>
  <c r="T12" i="84" s="1"/>
  <c r="Y12" i="84" s="1"/>
  <c r="AD12" i="84" s="1"/>
  <c r="L12" i="84"/>
  <c r="Q12" i="84" s="1"/>
  <c r="V12" i="84" s="1"/>
  <c r="AA12" i="84" s="1"/>
  <c r="AF12" i="84" s="1"/>
  <c r="AH12" i="84" s="1"/>
  <c r="AJ12" i="84" s="1"/>
  <c r="AL12" i="84" s="1"/>
  <c r="AN12" i="84" s="1"/>
  <c r="AP12" i="84" s="1"/>
  <c r="AR12" i="84" s="1"/>
  <c r="AT12" i="84" s="1"/>
  <c r="AV12" i="84" s="1"/>
  <c r="AX12" i="84" s="1"/>
  <c r="AZ12" i="84" s="1"/>
  <c r="BB12" i="84" s="1"/>
  <c r="BD12" i="84" s="1"/>
  <c r="BF12" i="84" s="1"/>
  <c r="BH12" i="84" s="1"/>
  <c r="BJ12" i="84" s="1"/>
  <c r="BL12" i="84" s="1"/>
  <c r="BN12" i="84" s="1"/>
  <c r="BP12" i="84" s="1"/>
  <c r="BR12" i="84" s="1"/>
  <c r="BT12" i="84" s="1"/>
  <c r="BV12" i="84" s="1"/>
  <c r="BX12" i="84" s="1"/>
  <c r="BZ12" i="84" s="1"/>
  <c r="CB12" i="84" s="1"/>
  <c r="CD12" i="84" s="1"/>
  <c r="N12" i="84"/>
  <c r="S12" i="84" s="1"/>
  <c r="X12" i="84" s="1"/>
  <c r="AC12" i="84" s="1"/>
  <c r="N67" i="84"/>
  <c r="L67" i="84"/>
  <c r="M67" i="84" s="1"/>
  <c r="L32" i="84"/>
  <c r="Q32" i="84" s="1"/>
  <c r="V32" i="84" s="1"/>
  <c r="P32" i="84"/>
  <c r="U32" i="84" s="1"/>
  <c r="Z32" i="84" s="1"/>
  <c r="AC32" i="84"/>
  <c r="M32" i="84"/>
  <c r="R32" i="84" s="1"/>
  <c r="W32" i="84" s="1"/>
  <c r="O32" i="84"/>
  <c r="T32" i="84" s="1"/>
  <c r="Y32" i="84" s="1"/>
  <c r="N32" i="84"/>
  <c r="S32" i="84" s="1"/>
  <c r="X32" i="84" s="1"/>
  <c r="M40" i="84"/>
  <c r="L40" i="84"/>
  <c r="O40" i="84"/>
  <c r="P40" i="84"/>
  <c r="N40" i="84"/>
  <c r="O56" i="84"/>
  <c r="T56" i="84" s="1"/>
  <c r="M56" i="84"/>
  <c r="R56" i="84" s="1"/>
  <c r="L56" i="84"/>
  <c r="Q56" i="84" s="1"/>
  <c r="V56" i="84" s="1"/>
  <c r="W56" i="84"/>
  <c r="P56" i="84"/>
  <c r="U56" i="84" s="1"/>
  <c r="N56" i="84"/>
  <c r="S56" i="84" s="1"/>
  <c r="N22" i="84"/>
  <c r="S22" i="84" s="1"/>
  <c r="O22" i="84"/>
  <c r="L22" i="84"/>
  <c r="Q22" i="84" s="1"/>
  <c r="V22" i="84" s="1"/>
  <c r="AA22" i="84" s="1"/>
  <c r="AF22" i="84" s="1"/>
  <c r="AH22" i="84" s="1"/>
  <c r="AJ22" i="84" s="1"/>
  <c r="AL22" i="84" s="1"/>
  <c r="AN22" i="84" s="1"/>
  <c r="AP22" i="84" s="1"/>
  <c r="AR22" i="84" s="1"/>
  <c r="AT22" i="84" s="1"/>
  <c r="AV22" i="84" s="1"/>
  <c r="AX22" i="84" s="1"/>
  <c r="AZ22" i="84" s="1"/>
  <c r="BB22" i="84" s="1"/>
  <c r="BD22" i="84" s="1"/>
  <c r="BF22" i="84" s="1"/>
  <c r="BH22" i="84" s="1"/>
  <c r="BJ22" i="84" s="1"/>
  <c r="BL22" i="84" s="1"/>
  <c r="BN22" i="84" s="1"/>
  <c r="BP22" i="84" s="1"/>
  <c r="BR22" i="84" s="1"/>
  <c r="BT22" i="84" s="1"/>
  <c r="BV22" i="84" s="1"/>
  <c r="BX22" i="84" s="1"/>
  <c r="BZ22" i="84" s="1"/>
  <c r="CB22" i="84" s="1"/>
  <c r="CD22" i="84" s="1"/>
  <c r="CF22" i="84" s="1"/>
  <c r="CH22" i="84" s="1"/>
  <c r="CJ22" i="84" s="1"/>
  <c r="P22" i="84"/>
  <c r="U22" i="84" s="1"/>
  <c r="Z22" i="84" s="1"/>
  <c r="AE22" i="84" s="1"/>
  <c r="AG22" i="84" s="1"/>
  <c r="AI22" i="84" s="1"/>
  <c r="AK22" i="84" s="1"/>
  <c r="AM22" i="84" s="1"/>
  <c r="AO22" i="84" s="1"/>
  <c r="AQ22" i="84" s="1"/>
  <c r="AS22" i="84" s="1"/>
  <c r="AU22" i="84" s="1"/>
  <c r="AW22" i="84" s="1"/>
  <c r="AY22" i="84" s="1"/>
  <c r="BA22" i="84" s="1"/>
  <c r="BC22" i="84" s="1"/>
  <c r="BE22" i="84" s="1"/>
  <c r="BG22" i="84" s="1"/>
  <c r="BI22" i="84" s="1"/>
  <c r="BK22" i="84" s="1"/>
  <c r="BM22" i="84" s="1"/>
  <c r="BO22" i="84" s="1"/>
  <c r="BQ22" i="84" s="1"/>
  <c r="BS22" i="84" s="1"/>
  <c r="BU22" i="84" s="1"/>
  <c r="BW22" i="84" s="1"/>
  <c r="BY22" i="84" s="1"/>
  <c r="CA22" i="84" s="1"/>
  <c r="CC22" i="84" s="1"/>
  <c r="CE22" i="84" s="1"/>
  <c r="CG22" i="84" s="1"/>
  <c r="CI22" i="84" s="1"/>
  <c r="M22" i="84"/>
  <c r="R22" i="84" s="1"/>
  <c r="W22" i="84" s="1"/>
  <c r="AB22" i="84" s="1"/>
  <c r="N69" i="84"/>
  <c r="S69" i="84" s="1"/>
  <c r="M69" i="84"/>
  <c r="R69" i="84" s="1"/>
  <c r="O69" i="84"/>
  <c r="T69" i="84" s="1"/>
  <c r="P69" i="84"/>
  <c r="U69" i="84" s="1"/>
  <c r="L69" i="84"/>
  <c r="Q69" i="84" s="1"/>
  <c r="V69" i="84" s="1"/>
  <c r="W69" i="84"/>
  <c r="O63" i="84"/>
  <c r="L63" i="84"/>
  <c r="N63" i="84"/>
  <c r="M63" i="84"/>
  <c r="P68" i="84"/>
  <c r="O68" i="84"/>
  <c r="L68" i="84"/>
  <c r="M68" i="84"/>
  <c r="Q68" i="84"/>
  <c r="N68" i="84"/>
  <c r="M61" i="84"/>
  <c r="P61" i="84"/>
  <c r="N61" i="84"/>
  <c r="O61" i="84"/>
  <c r="L61" i="84"/>
  <c r="L66" i="84"/>
  <c r="M66" i="84"/>
  <c r="M39" i="84"/>
  <c r="R39" i="84" s="1"/>
  <c r="W39" i="84" s="1"/>
  <c r="AB39" i="84" s="1"/>
  <c r="O39" i="84"/>
  <c r="T39" i="84" s="1"/>
  <c r="Y39" i="84" s="1"/>
  <c r="AD39" i="84" s="1"/>
  <c r="AD86" i="84" s="1"/>
  <c r="N39" i="84"/>
  <c r="S39" i="84" s="1"/>
  <c r="X39" i="84" s="1"/>
  <c r="AC39" i="84" s="1"/>
  <c r="P39" i="84"/>
  <c r="U39" i="84" s="1"/>
  <c r="Z39" i="84" s="1"/>
  <c r="AE39" i="84" s="1"/>
  <c r="AG39" i="84" s="1"/>
  <c r="L39" i="84"/>
  <c r="Q39" i="84" s="1"/>
  <c r="V39" i="84" s="1"/>
  <c r="AA39" i="84" s="1"/>
  <c r="AF39" i="84" s="1"/>
  <c r="M51" i="84"/>
  <c r="R51" i="84" s="1"/>
  <c r="W51" i="84" s="1"/>
  <c r="AB51" i="84" s="1"/>
  <c r="O51" i="84"/>
  <c r="T51" i="84" s="1"/>
  <c r="Y51" i="84" s="1"/>
  <c r="AD51" i="84" s="1"/>
  <c r="P51" i="84"/>
  <c r="U51" i="84" s="1"/>
  <c r="Z51" i="84" s="1"/>
  <c r="AE51" i="84" s="1"/>
  <c r="AG51" i="84" s="1"/>
  <c r="AI51" i="84" s="1"/>
  <c r="AK51" i="84" s="1"/>
  <c r="AM51" i="84" s="1"/>
  <c r="AO51" i="84" s="1"/>
  <c r="AQ51" i="84" s="1"/>
  <c r="N51" i="84"/>
  <c r="S51" i="84" s="1"/>
  <c r="X51" i="84" s="1"/>
  <c r="AC51" i="84" s="1"/>
  <c r="L51" i="84"/>
  <c r="Q51" i="84" s="1"/>
  <c r="V51" i="84" s="1"/>
  <c r="AA51" i="84" s="1"/>
  <c r="AF51" i="84" s="1"/>
  <c r="AH51" i="84" s="1"/>
  <c r="AJ51" i="84" s="1"/>
  <c r="AL51" i="84" s="1"/>
  <c r="AN51" i="84" s="1"/>
  <c r="AP51" i="84" s="1"/>
  <c r="AR51" i="84" s="1"/>
  <c r="M53" i="84"/>
  <c r="R53" i="84" s="1"/>
  <c r="P53" i="84"/>
  <c r="L53" i="84"/>
  <c r="Q53" i="84" s="1"/>
  <c r="O53" i="84"/>
  <c r="T53" i="84" s="1"/>
  <c r="N53" i="84"/>
  <c r="S53" i="84" s="1"/>
  <c r="L58" i="84"/>
  <c r="Q58" i="84" s="1"/>
  <c r="V58" i="84" s="1"/>
  <c r="M58" i="84"/>
  <c r="R58" i="84" s="1"/>
  <c r="W58" i="84" s="1"/>
  <c r="O58" i="84"/>
  <c r="T58" i="84" s="1"/>
  <c r="Y58" i="84" s="1"/>
  <c r="P58" i="84"/>
  <c r="U58" i="84" s="1"/>
  <c r="Z58" i="84" s="1"/>
  <c r="AA58" i="84"/>
  <c r="N58" i="84"/>
  <c r="S58" i="84" s="1"/>
  <c r="X58" i="84" s="1"/>
  <c r="N19" i="84"/>
  <c r="L19" i="84"/>
  <c r="M19" i="84" s="1"/>
  <c r="N17" i="84"/>
  <c r="L17" i="84"/>
  <c r="L70" i="84"/>
  <c r="Q70" i="84" s="1"/>
  <c r="V70" i="84" s="1"/>
  <c r="AA70" i="84" s="1"/>
  <c r="AA93" i="84" s="1"/>
  <c r="P70" i="84"/>
  <c r="U70" i="84" s="1"/>
  <c r="Z70" i="84" s="1"/>
  <c r="Z93" i="84" s="1"/>
  <c r="O70" i="84"/>
  <c r="T70" i="84" s="1"/>
  <c r="Y70" i="84" s="1"/>
  <c r="Y93" i="84" s="1"/>
  <c r="N70" i="84"/>
  <c r="S70" i="84" s="1"/>
  <c r="X70" i="84" s="1"/>
  <c r="X93" i="84" s="1"/>
  <c r="AB70" i="84"/>
  <c r="AB93" i="84" s="1"/>
  <c r="M70" i="84"/>
  <c r="R70" i="84" s="1"/>
  <c r="W70" i="84" s="1"/>
  <c r="M6" i="84"/>
  <c r="N6" i="84"/>
  <c r="L6" i="84"/>
  <c r="AJ18" i="84"/>
  <c r="M21" i="84"/>
  <c r="L21" i="84"/>
  <c r="Q29" i="84"/>
  <c r="N52" i="84"/>
  <c r="L52" i="84"/>
  <c r="O52" i="84"/>
  <c r="P52" i="84"/>
  <c r="M52" i="84"/>
  <c r="S30" i="84"/>
  <c r="M30" i="84"/>
  <c r="R30" i="84" s="1"/>
  <c r="L30" i="84"/>
  <c r="Q30" i="84" s="1"/>
  <c r="O30" i="84"/>
  <c r="P30" i="84"/>
  <c r="N30" i="84"/>
  <c r="O25" i="84"/>
  <c r="T25" i="84" s="1"/>
  <c r="Y25" i="84" s="1"/>
  <c r="AD25" i="84" s="1"/>
  <c r="N25" i="84"/>
  <c r="S25" i="84" s="1"/>
  <c r="X25" i="84" s="1"/>
  <c r="AC25" i="84" s="1"/>
  <c r="L25" i="84"/>
  <c r="Q25" i="84" s="1"/>
  <c r="V25" i="84" s="1"/>
  <c r="AA25" i="84" s="1"/>
  <c r="AF25" i="84" s="1"/>
  <c r="AH25" i="84" s="1"/>
  <c r="AJ25" i="84" s="1"/>
  <c r="AL25" i="84" s="1"/>
  <c r="AN25" i="84" s="1"/>
  <c r="AP25" i="84" s="1"/>
  <c r="AR25" i="84" s="1"/>
  <c r="AT25" i="84" s="1"/>
  <c r="AV25" i="84" s="1"/>
  <c r="AX25" i="84" s="1"/>
  <c r="AZ25" i="84" s="1"/>
  <c r="BB25" i="84" s="1"/>
  <c r="BD25" i="84" s="1"/>
  <c r="BF25" i="84" s="1"/>
  <c r="BH25" i="84" s="1"/>
  <c r="BJ25" i="84" s="1"/>
  <c r="BL25" i="84" s="1"/>
  <c r="BN25" i="84" s="1"/>
  <c r="BP25" i="84" s="1"/>
  <c r="BR25" i="84" s="1"/>
  <c r="BT25" i="84" s="1"/>
  <c r="BV25" i="84" s="1"/>
  <c r="BX25" i="84" s="1"/>
  <c r="BZ25" i="84" s="1"/>
  <c r="CB25" i="84" s="1"/>
  <c r="CD25" i="84" s="1"/>
  <c r="CF25" i="84" s="1"/>
  <c r="CH25" i="84" s="1"/>
  <c r="CJ25" i="84" s="1"/>
  <c r="P25" i="84"/>
  <c r="U25" i="84" s="1"/>
  <c r="Z25" i="84" s="1"/>
  <c r="AE25" i="84" s="1"/>
  <c r="AG25" i="84" s="1"/>
  <c r="AI25" i="84" s="1"/>
  <c r="AK25" i="84" s="1"/>
  <c r="AM25" i="84" s="1"/>
  <c r="AO25" i="84" s="1"/>
  <c r="AQ25" i="84" s="1"/>
  <c r="AS25" i="84" s="1"/>
  <c r="AU25" i="84" s="1"/>
  <c r="AW25" i="84" s="1"/>
  <c r="AY25" i="84" s="1"/>
  <c r="BA25" i="84" s="1"/>
  <c r="BC25" i="84" s="1"/>
  <c r="BE25" i="84" s="1"/>
  <c r="BG25" i="84" s="1"/>
  <c r="BI25" i="84" s="1"/>
  <c r="BK25" i="84" s="1"/>
  <c r="BM25" i="84" s="1"/>
  <c r="BO25" i="84" s="1"/>
  <c r="BQ25" i="84" s="1"/>
  <c r="BS25" i="84" s="1"/>
  <c r="BU25" i="84" s="1"/>
  <c r="BW25" i="84" s="1"/>
  <c r="BY25" i="84" s="1"/>
  <c r="CA25" i="84" s="1"/>
  <c r="CC25" i="84" s="1"/>
  <c r="CE25" i="84" s="1"/>
  <c r="CG25" i="84" s="1"/>
  <c r="CI25" i="84" s="1"/>
  <c r="M25" i="84"/>
  <c r="R25" i="84" s="1"/>
  <c r="W25" i="84" s="1"/>
  <c r="AB25" i="84" s="1"/>
  <c r="W18" i="84"/>
  <c r="U28" i="84"/>
  <c r="P84" i="84"/>
  <c r="AG31" i="84"/>
  <c r="AF59" i="84"/>
  <c r="AL4" i="84"/>
  <c r="O54" i="84"/>
  <c r="T54" i="84" s="1"/>
  <c r="Y54" i="84" s="1"/>
  <c r="AD54" i="84" s="1"/>
  <c r="L54" i="84"/>
  <c r="Q54" i="84" s="1"/>
  <c r="V54" i="84" s="1"/>
  <c r="AA54" i="84" s="1"/>
  <c r="AF54" i="84" s="1"/>
  <c r="AH54" i="84" s="1"/>
  <c r="AJ54" i="84" s="1"/>
  <c r="AL54" i="84" s="1"/>
  <c r="AN54" i="84" s="1"/>
  <c r="M54" i="84"/>
  <c r="R54" i="84" s="1"/>
  <c r="W54" i="84" s="1"/>
  <c r="AB54" i="84" s="1"/>
  <c r="P54" i="84"/>
  <c r="U54" i="84" s="1"/>
  <c r="Z54" i="84" s="1"/>
  <c r="AE54" i="84" s="1"/>
  <c r="AG54" i="84" s="1"/>
  <c r="AI54" i="84" s="1"/>
  <c r="AK54" i="84" s="1"/>
  <c r="AM54" i="84" s="1"/>
  <c r="AO54" i="84" s="1"/>
  <c r="N54" i="84"/>
  <c r="S54" i="84" s="1"/>
  <c r="X54" i="84" s="1"/>
  <c r="AC54" i="84" s="1"/>
  <c r="AU42" i="84"/>
  <c r="AP42" i="84"/>
  <c r="N37" i="84"/>
  <c r="O37" i="84"/>
  <c r="P37" i="84"/>
  <c r="L37" i="84"/>
  <c r="Q37" i="84" s="1"/>
  <c r="R37" i="84"/>
  <c r="M37" i="84"/>
  <c r="X42" i="84"/>
  <c r="Y60" i="84"/>
  <c r="N60" i="84"/>
  <c r="M60" i="84"/>
  <c r="L60" i="84"/>
  <c r="P60" i="84"/>
  <c r="O60" i="84"/>
  <c r="L57" i="84"/>
  <c r="N57" i="84"/>
  <c r="O57" i="84"/>
  <c r="P57" i="84"/>
  <c r="M57" i="84"/>
  <c r="O14" i="84"/>
  <c r="M14" i="84"/>
  <c r="N14" i="84"/>
  <c r="L14" i="84"/>
  <c r="M5" i="84"/>
  <c r="P5" i="84"/>
  <c r="L5" i="84"/>
  <c r="K71" i="84"/>
  <c r="N5" i="84"/>
  <c r="O5" i="84"/>
  <c r="M11" i="84"/>
  <c r="R11" i="84" s="1"/>
  <c r="W11" i="84" s="1"/>
  <c r="AB11" i="84" s="1"/>
  <c r="N11" i="84"/>
  <c r="S11" i="84" s="1"/>
  <c r="X11" i="84" s="1"/>
  <c r="AC11" i="84" s="1"/>
  <c r="L11" i="84"/>
  <c r="Q11" i="84" s="1"/>
  <c r="V11" i="84" s="1"/>
  <c r="AA11" i="84" s="1"/>
  <c r="AF11" i="84" s="1"/>
  <c r="AH11" i="84" s="1"/>
  <c r="AJ11" i="84" s="1"/>
  <c r="AL11" i="84" s="1"/>
  <c r="AN11" i="84" s="1"/>
  <c r="AP11" i="84" s="1"/>
  <c r="AR11" i="84" s="1"/>
  <c r="AT11" i="84" s="1"/>
  <c r="AV11" i="84" s="1"/>
  <c r="AX11" i="84" s="1"/>
  <c r="AZ11" i="84" s="1"/>
  <c r="BB11" i="84" s="1"/>
  <c r="BD11" i="84" s="1"/>
  <c r="BF11" i="84" s="1"/>
  <c r="BH11" i="84" s="1"/>
  <c r="BJ11" i="84" s="1"/>
  <c r="BL11" i="84" s="1"/>
  <c r="BN11" i="84" s="1"/>
  <c r="BP11" i="84" s="1"/>
  <c r="BR11" i="84" s="1"/>
  <c r="BT11" i="84" s="1"/>
  <c r="BV11" i="84" s="1"/>
  <c r="BX11" i="84" s="1"/>
  <c r="BZ11" i="84" s="1"/>
  <c r="CB11" i="84" s="1"/>
  <c r="CD11" i="84" s="1"/>
  <c r="CF11" i="84" s="1"/>
  <c r="CH11" i="84" s="1"/>
  <c r="CJ11" i="84" s="1"/>
  <c r="P11" i="84"/>
  <c r="U11" i="84" s="1"/>
  <c r="Z11" i="84" s="1"/>
  <c r="AE11" i="84" s="1"/>
  <c r="AG11" i="84" s="1"/>
  <c r="AI11" i="84" s="1"/>
  <c r="AK11" i="84" s="1"/>
  <c r="AM11" i="84" s="1"/>
  <c r="AO11" i="84" s="1"/>
  <c r="AQ11" i="84" s="1"/>
  <c r="AS11" i="84" s="1"/>
  <c r="AU11" i="84" s="1"/>
  <c r="AW11" i="84" s="1"/>
  <c r="AY11" i="84" s="1"/>
  <c r="BA11" i="84" s="1"/>
  <c r="BC11" i="84" s="1"/>
  <c r="BE11" i="84" s="1"/>
  <c r="BG11" i="84" s="1"/>
  <c r="BI11" i="84" s="1"/>
  <c r="BK11" i="84" s="1"/>
  <c r="BM11" i="84" s="1"/>
  <c r="BO11" i="84" s="1"/>
  <c r="BQ11" i="84" s="1"/>
  <c r="BS11" i="84" s="1"/>
  <c r="BU11" i="84" s="1"/>
  <c r="BW11" i="84" s="1"/>
  <c r="BY11" i="84" s="1"/>
  <c r="CA11" i="84" s="1"/>
  <c r="CC11" i="84" s="1"/>
  <c r="CE11" i="84" s="1"/>
  <c r="CG11" i="84" s="1"/>
  <c r="CI11" i="84" s="1"/>
  <c r="O11" i="84"/>
  <c r="T11" i="84" s="1"/>
  <c r="Y11" i="84" s="1"/>
  <c r="AD11" i="84" s="1"/>
  <c r="L7" i="84"/>
  <c r="N7" i="84"/>
  <c r="M7" i="84"/>
  <c r="V45" i="84"/>
  <c r="AO15" i="84"/>
  <c r="L34" i="84"/>
  <c r="M34" i="84"/>
  <c r="U18" i="84"/>
  <c r="M64" i="84"/>
  <c r="R64" i="84" s="1"/>
  <c r="W64" i="84" s="1"/>
  <c r="AB64" i="84" s="1"/>
  <c r="AB92" i="84" s="1"/>
  <c r="N64" i="84"/>
  <c r="S64" i="84" s="1"/>
  <c r="X64" i="84" s="1"/>
  <c r="AC64" i="84" s="1"/>
  <c r="AC92" i="84" s="1"/>
  <c r="L64" i="84"/>
  <c r="Q64" i="84" s="1"/>
  <c r="V64" i="84" s="1"/>
  <c r="AA64" i="84" s="1"/>
  <c r="O64" i="84"/>
  <c r="T64" i="84" s="1"/>
  <c r="Y64" i="84" s="1"/>
  <c r="AD64" i="84" s="1"/>
  <c r="AD92" i="84" s="1"/>
  <c r="P64" i="84"/>
  <c r="U64" i="84" s="1"/>
  <c r="Z64" i="84" s="1"/>
  <c r="O84" i="84"/>
  <c r="T28" i="84"/>
  <c r="N26" i="84"/>
  <c r="S26" i="84" s="1"/>
  <c r="X26" i="84" s="1"/>
  <c r="L26" i="84"/>
  <c r="Q26" i="84" s="1"/>
  <c r="V26" i="84" s="1"/>
  <c r="AA26" i="84" s="1"/>
  <c r="O26" i="84"/>
  <c r="T26" i="84" s="1"/>
  <c r="Y26" i="84" s="1"/>
  <c r="P26" i="84"/>
  <c r="U26" i="84" s="1"/>
  <c r="Z26" i="84" s="1"/>
  <c r="M26" i="84"/>
  <c r="R26" i="84" s="1"/>
  <c r="W26" i="84" s="1"/>
  <c r="AB26" i="84" s="1"/>
  <c r="AC26" i="84"/>
  <c r="P46" i="84"/>
  <c r="U46" i="84" s="1"/>
  <c r="N46" i="84"/>
  <c r="S46" i="84" s="1"/>
  <c r="X46" i="84" s="1"/>
  <c r="AC46" i="84" s="1"/>
  <c r="M46" i="84"/>
  <c r="R46" i="84" s="1"/>
  <c r="W46" i="84" s="1"/>
  <c r="AB46" i="84" s="1"/>
  <c r="O46" i="84"/>
  <c r="T46" i="84" s="1"/>
  <c r="Y46" i="84" s="1"/>
  <c r="AD46" i="84" s="1"/>
  <c r="L46" i="84"/>
  <c r="Q46" i="84" s="1"/>
  <c r="V46" i="84" s="1"/>
  <c r="AA46" i="84" s="1"/>
  <c r="AF46" i="84" s="1"/>
  <c r="AH46" i="84" s="1"/>
  <c r="AJ46" i="84" s="1"/>
  <c r="AL46" i="84" s="1"/>
  <c r="AN46" i="84" s="1"/>
  <c r="AP46" i="84" s="1"/>
  <c r="AR46" i="84" s="1"/>
  <c r="AT46" i="84" s="1"/>
  <c r="AV46" i="84" s="1"/>
  <c r="AX46" i="84" s="1"/>
  <c r="AZ46" i="84" s="1"/>
  <c r="BB46" i="84" s="1"/>
  <c r="BD46" i="84" s="1"/>
  <c r="BF46" i="84" s="1"/>
  <c r="BH46" i="84" s="1"/>
  <c r="BJ46" i="84" s="1"/>
  <c r="BL46" i="84" s="1"/>
  <c r="BN46" i="84" s="1"/>
  <c r="BP46" i="84" s="1"/>
  <c r="BR46" i="84" s="1"/>
  <c r="BT46" i="84" s="1"/>
  <c r="BV46" i="84" s="1"/>
  <c r="BX46" i="84" s="1"/>
  <c r="BZ46" i="84" s="1"/>
  <c r="CB46" i="84" s="1"/>
  <c r="CD46" i="84" s="1"/>
  <c r="CF46" i="84" s="1"/>
  <c r="CH46" i="84" s="1"/>
  <c r="CJ46" i="84" s="1"/>
  <c r="L10" i="84"/>
  <c r="N10" i="84"/>
  <c r="O10" i="84"/>
  <c r="M10" i="84"/>
  <c r="M84" i="84"/>
  <c r="R28" i="84"/>
  <c r="W45" i="84"/>
  <c r="Y45" i="84"/>
  <c r="AV15" i="84"/>
  <c r="N43" i="84"/>
  <c r="L43" i="84"/>
  <c r="M43" i="84"/>
  <c r="AE45" i="84"/>
  <c r="AF45" i="84"/>
  <c r="G38" i="1"/>
  <c r="F38" i="1"/>
  <c r="N1" i="66"/>
  <c r="O1" i="66"/>
  <c r="P1" i="66" s="1"/>
  <c r="S5" i="82" l="1"/>
  <c r="W5" i="82" s="1"/>
  <c r="O93" i="84"/>
  <c r="AC91" i="84"/>
  <c r="Q9" i="82"/>
  <c r="P16" i="82"/>
  <c r="Q16" i="82" s="1"/>
  <c r="U93" i="84"/>
  <c r="S86" i="84"/>
  <c r="J39" i="1"/>
  <c r="T86" i="84"/>
  <c r="M83" i="84"/>
  <c r="M86" i="84"/>
  <c r="Q85" i="84"/>
  <c r="O83" i="84"/>
  <c r="S84" i="84"/>
  <c r="X28" i="84"/>
  <c r="R87" i="84"/>
  <c r="V28" i="84"/>
  <c r="Q84" i="84"/>
  <c r="AK59" i="84"/>
  <c r="AI91" i="84"/>
  <c r="AF85" i="84"/>
  <c r="U86" i="84"/>
  <c r="AB87" i="84"/>
  <c r="Q87" i="84"/>
  <c r="M93" i="84"/>
  <c r="AA85" i="84"/>
  <c r="Y87" i="84"/>
  <c r="R85" i="84"/>
  <c r="N86" i="84"/>
  <c r="Y92" i="84"/>
  <c r="O86" i="84"/>
  <c r="P85" i="84"/>
  <c r="L83" i="84"/>
  <c r="AE86" i="84"/>
  <c r="L93" i="84"/>
  <c r="T5" i="82"/>
  <c r="W4" i="82"/>
  <c r="W11" i="82" s="1"/>
  <c r="S11" i="82"/>
  <c r="AN31" i="84"/>
  <c r="AL86" i="84"/>
  <c r="Y28" i="84"/>
  <c r="T84" i="84"/>
  <c r="AF64" i="84"/>
  <c r="AA92" i="84"/>
  <c r="S87" i="84"/>
  <c r="AR42" i="84"/>
  <c r="R84" i="84"/>
  <c r="W28" i="84"/>
  <c r="AQ15" i="84"/>
  <c r="U5" i="84"/>
  <c r="P82" i="84"/>
  <c r="P71" i="84"/>
  <c r="S60" i="84"/>
  <c r="N92" i="84"/>
  <c r="AW42" i="84"/>
  <c r="Z28" i="84"/>
  <c r="U84" i="84"/>
  <c r="U52" i="84"/>
  <c r="P88" i="84"/>
  <c r="N85" i="84"/>
  <c r="Q93" i="84"/>
  <c r="Y86" i="84"/>
  <c r="AB32" i="84"/>
  <c r="AB86" i="84" s="1"/>
  <c r="W86" i="84"/>
  <c r="AH45" i="84"/>
  <c r="AF87" i="84"/>
  <c r="AX15" i="84"/>
  <c r="Z46" i="84"/>
  <c r="U87" i="84"/>
  <c r="Z18" i="84"/>
  <c r="U85" i="84"/>
  <c r="V87" i="84"/>
  <c r="AH59" i="84"/>
  <c r="AF91" i="84"/>
  <c r="AB18" i="84"/>
  <c r="AB85" i="84" s="1"/>
  <c r="W85" i="84"/>
  <c r="P86" i="84"/>
  <c r="Q52" i="84"/>
  <c r="L88" i="84"/>
  <c r="T83" i="84"/>
  <c r="Y53" i="84"/>
  <c r="Q61" i="84"/>
  <c r="L91" i="84"/>
  <c r="V93" i="84"/>
  <c r="T22" i="84"/>
  <c r="O85" i="84"/>
  <c r="N87" i="84"/>
  <c r="AC86" i="84"/>
  <c r="AN4" i="84"/>
  <c r="S52" i="84"/>
  <c r="N88" i="84"/>
  <c r="AH85" i="84"/>
  <c r="V53" i="84"/>
  <c r="Q83" i="84"/>
  <c r="AH39" i="84"/>
  <c r="AH86" i="84" s="1"/>
  <c r="AF86" i="84"/>
  <c r="T61" i="84"/>
  <c r="O91" i="84"/>
  <c r="X22" i="84"/>
  <c r="S85" i="84"/>
  <c r="P87" i="84"/>
  <c r="Z86" i="84"/>
  <c r="R5" i="84"/>
  <c r="M82" i="84"/>
  <c r="T52" i="84"/>
  <c r="O88" i="84"/>
  <c r="AO4" i="84"/>
  <c r="S83" i="84"/>
  <c r="X53" i="84"/>
  <c r="W93" i="84"/>
  <c r="AG45" i="84"/>
  <c r="T87" i="84"/>
  <c r="Z92" i="84"/>
  <c r="AE64" i="84"/>
  <c r="T5" i="84"/>
  <c r="O82" i="84"/>
  <c r="O71" i="84"/>
  <c r="N83" i="84"/>
  <c r="T60" i="84"/>
  <c r="T92" i="84" s="1"/>
  <c r="O92" i="84"/>
  <c r="V85" i="84"/>
  <c r="AI31" i="84"/>
  <c r="AG86" i="84"/>
  <c r="L86" i="84"/>
  <c r="AL18" i="84"/>
  <c r="AJ85" i="84"/>
  <c r="U53" i="84"/>
  <c r="P83" i="84"/>
  <c r="S61" i="84"/>
  <c r="N91" i="84"/>
  <c r="P93" i="84"/>
  <c r="T93" i="84"/>
  <c r="O87" i="84"/>
  <c r="AA32" i="84"/>
  <c r="AA86" i="84" s="1"/>
  <c r="V86" i="84"/>
  <c r="S5" i="84"/>
  <c r="N82" i="84"/>
  <c r="N71" i="84"/>
  <c r="U60" i="84"/>
  <c r="U92" i="84" s="1"/>
  <c r="P92" i="84"/>
  <c r="X87" i="84"/>
  <c r="AC42" i="84"/>
  <c r="AC87" i="84" s="1"/>
  <c r="R86" i="84"/>
  <c r="Q86" i="84"/>
  <c r="R83" i="84"/>
  <c r="W53" i="84"/>
  <c r="U61" i="84"/>
  <c r="P91" i="84"/>
  <c r="R93" i="84"/>
  <c r="L87" i="84"/>
  <c r="R61" i="84"/>
  <c r="M91" i="84"/>
  <c r="S93" i="84"/>
  <c r="M87" i="84"/>
  <c r="Q60" i="84"/>
  <c r="L92" i="84"/>
  <c r="W87" i="84"/>
  <c r="AD87" i="84"/>
  <c r="Q5" i="84"/>
  <c r="L82" i="84"/>
  <c r="L71" i="84"/>
  <c r="M92" i="84"/>
  <c r="R60" i="84"/>
  <c r="R52" i="84"/>
  <c r="M88" i="84"/>
  <c r="M17" i="84"/>
  <c r="M85" i="84" s="1"/>
  <c r="L85" i="84"/>
  <c r="N93" i="84"/>
  <c r="X86" i="84"/>
  <c r="AA87" i="84"/>
  <c r="R1" i="66"/>
  <c r="S1" i="66" s="1"/>
  <c r="Q1" i="66"/>
  <c r="AA28" i="84" l="1"/>
  <c r="V84" i="84"/>
  <c r="AM59" i="84"/>
  <c r="AK91" i="84"/>
  <c r="X84" i="84"/>
  <c r="AC28" i="84"/>
  <c r="AC84" i="84" s="1"/>
  <c r="AP31" i="84"/>
  <c r="AN86" i="84"/>
  <c r="O94" i="84"/>
  <c r="V5" i="84"/>
  <c r="Q71" i="84"/>
  <c r="Q82" i="84"/>
  <c r="W61" i="84"/>
  <c r="R91" i="84"/>
  <c r="Z53" i="84"/>
  <c r="U83" i="84"/>
  <c r="AJ45" i="84"/>
  <c r="AH87" i="84"/>
  <c r="Z5" i="84"/>
  <c r="U82" i="84"/>
  <c r="U71" i="84"/>
  <c r="AT42" i="84"/>
  <c r="AI45" i="84"/>
  <c r="AC22" i="84"/>
  <c r="AC85" i="84" s="1"/>
  <c r="X85" i="84"/>
  <c r="AE28" i="84"/>
  <c r="Z84" i="84"/>
  <c r="AN18" i="84"/>
  <c r="AL85" i="84"/>
  <c r="O73" i="84"/>
  <c r="O74" i="84" s="1"/>
  <c r="Y52" i="84"/>
  <c r="T88" i="84"/>
  <c r="X52" i="84"/>
  <c r="S88" i="84"/>
  <c r="V52" i="84"/>
  <c r="Q88" i="84"/>
  <c r="AE18" i="84"/>
  <c r="Z85" i="84"/>
  <c r="AS15" i="84"/>
  <c r="M94" i="84"/>
  <c r="Y61" i="84"/>
  <c r="Y91" i="84" s="1"/>
  <c r="T91" i="84"/>
  <c r="Y22" i="84"/>
  <c r="T85" i="84"/>
  <c r="AY42" i="84"/>
  <c r="AB28" i="84"/>
  <c r="AB84" i="84" s="1"/>
  <c r="W84" i="84"/>
  <c r="W60" i="84"/>
  <c r="W92" i="84" s="1"/>
  <c r="R92" i="84"/>
  <c r="Q92" i="84"/>
  <c r="V60" i="84"/>
  <c r="V92" i="84" s="1"/>
  <c r="Z61" i="84"/>
  <c r="Z91" i="84" s="1"/>
  <c r="U91" i="84"/>
  <c r="Y5" i="84"/>
  <c r="T71" i="84"/>
  <c r="T82" i="84"/>
  <c r="X83" i="84"/>
  <c r="AC53" i="84"/>
  <c r="AC83" i="84" s="1"/>
  <c r="M71" i="84"/>
  <c r="AE46" i="84"/>
  <c r="Z87" i="84"/>
  <c r="AB53" i="84"/>
  <c r="AB83" i="84" s="1"/>
  <c r="W83" i="84"/>
  <c r="N73" i="84"/>
  <c r="N74" i="84" s="1"/>
  <c r="AI86" i="84"/>
  <c r="AK31" i="84"/>
  <c r="AG64" i="84"/>
  <c r="AE92" i="84"/>
  <c r="W5" i="84"/>
  <c r="R82" i="84"/>
  <c r="R71" i="84"/>
  <c r="AZ15" i="84"/>
  <c r="X60" i="84"/>
  <c r="X92" i="84" s="1"/>
  <c r="S92" i="84"/>
  <c r="AH64" i="84"/>
  <c r="AF92" i="84"/>
  <c r="W52" i="84"/>
  <c r="R88" i="84"/>
  <c r="N94" i="84"/>
  <c r="X61" i="84"/>
  <c r="X91" i="84" s="1"/>
  <c r="S91" i="84"/>
  <c r="AQ4" i="84"/>
  <c r="AP4" i="84"/>
  <c r="V61" i="84"/>
  <c r="Q91" i="84"/>
  <c r="P73" i="84"/>
  <c r="P74" i="84" s="1"/>
  <c r="L73" i="84"/>
  <c r="L74" i="84" s="1"/>
  <c r="L94" i="84"/>
  <c r="X5" i="84"/>
  <c r="S71" i="84"/>
  <c r="S82" i="84"/>
  <c r="AA53" i="84"/>
  <c r="V83" i="84"/>
  <c r="Y83" i="84"/>
  <c r="AD53" i="84"/>
  <c r="AD83" i="84" s="1"/>
  <c r="AJ59" i="84"/>
  <c r="AH91" i="84"/>
  <c r="Z52" i="84"/>
  <c r="U88" i="84"/>
  <c r="P94" i="84"/>
  <c r="Y84" i="84"/>
  <c r="AD28" i="84"/>
  <c r="AD84" i="84" s="1"/>
  <c r="T1" i="66"/>
  <c r="U1" i="66"/>
  <c r="V1" i="66" s="1"/>
  <c r="W1" i="66" s="1"/>
  <c r="AM91" i="84" l="1"/>
  <c r="AO59" i="84"/>
  <c r="AF28" i="84"/>
  <c r="AA84" i="84"/>
  <c r="AP86" i="84"/>
  <c r="AR31" i="84"/>
  <c r="S94" i="84"/>
  <c r="R94" i="84"/>
  <c r="T94" i="84"/>
  <c r="R73" i="84"/>
  <c r="R74" i="84" s="1"/>
  <c r="BA42" i="84"/>
  <c r="AL45" i="84"/>
  <c r="AJ87" i="84"/>
  <c r="AB52" i="84"/>
  <c r="AB88" i="84" s="1"/>
  <c r="W88" i="84"/>
  <c r="AG18" i="84"/>
  <c r="AE85" i="84"/>
  <c r="AK45" i="84"/>
  <c r="AF53" i="84"/>
  <c r="AA83" i="84"/>
  <c r="AB5" i="84"/>
  <c r="W82" i="84"/>
  <c r="W71" i="84"/>
  <c r="AD22" i="84"/>
  <c r="AD85" i="84" s="1"/>
  <c r="Y85" i="84"/>
  <c r="AE53" i="84"/>
  <c r="Z83" i="84"/>
  <c r="AH92" i="84"/>
  <c r="AJ64" i="84"/>
  <c r="T73" i="84"/>
  <c r="T74" i="84" s="1"/>
  <c r="AA52" i="84"/>
  <c r="V88" i="84"/>
  <c r="AP18" i="84"/>
  <c r="AN85" i="84"/>
  <c r="AV42" i="84"/>
  <c r="AE52" i="84"/>
  <c r="Z88" i="84"/>
  <c r="S73" i="84"/>
  <c r="S74" i="84" s="1"/>
  <c r="AS4" i="84"/>
  <c r="AI64" i="84"/>
  <c r="AG92" i="84"/>
  <c r="AG46" i="84"/>
  <c r="AE87" i="84"/>
  <c r="AD5" i="84"/>
  <c r="Y82" i="84"/>
  <c r="Y71" i="84"/>
  <c r="U73" i="84"/>
  <c r="U74" i="84" s="1"/>
  <c r="AB61" i="84"/>
  <c r="AB91" i="84" s="1"/>
  <c r="W91" i="84"/>
  <c r="AC5" i="84"/>
  <c r="X71" i="84"/>
  <c r="X82" i="84"/>
  <c r="AM31" i="84"/>
  <c r="AK86" i="84"/>
  <c r="AC52" i="84"/>
  <c r="AC88" i="84" s="1"/>
  <c r="X88" i="84"/>
  <c r="AG28" i="84"/>
  <c r="AE84" i="84"/>
  <c r="U94" i="84"/>
  <c r="Q94" i="84"/>
  <c r="AJ91" i="84"/>
  <c r="AL59" i="84"/>
  <c r="AA61" i="84"/>
  <c r="AA91" i="84" s="1"/>
  <c r="V91" i="84"/>
  <c r="AE5" i="84"/>
  <c r="Z71" i="84"/>
  <c r="Z82" i="84"/>
  <c r="Q73" i="84"/>
  <c r="Q74" i="84" s="1"/>
  <c r="AR4" i="84"/>
  <c r="BB15" i="84"/>
  <c r="M73" i="84"/>
  <c r="M74" i="84" s="1"/>
  <c r="AU15" i="84"/>
  <c r="AD52" i="84"/>
  <c r="AD88" i="84" s="1"/>
  <c r="Y88" i="84"/>
  <c r="AA5" i="84"/>
  <c r="V82" i="84"/>
  <c r="V71" i="84"/>
  <c r="AF84" i="84" l="1"/>
  <c r="AH28" i="84"/>
  <c r="AQ59" i="84"/>
  <c r="AO91" i="84"/>
  <c r="V94" i="84"/>
  <c r="AT31" i="84"/>
  <c r="AR86" i="84"/>
  <c r="Z94" i="84"/>
  <c r="X94" i="84"/>
  <c r="AF5" i="84"/>
  <c r="AA71" i="84"/>
  <c r="AA82" i="84"/>
  <c r="BD15" i="84"/>
  <c r="AG5" i="84"/>
  <c r="AE71" i="84"/>
  <c r="AE82" i="84"/>
  <c r="AG84" i="84"/>
  <c r="AI28" i="84"/>
  <c r="X73" i="84"/>
  <c r="X74" i="84" s="1"/>
  <c r="Y73" i="84"/>
  <c r="Y74" i="84" s="1"/>
  <c r="Z73" i="84"/>
  <c r="Z74" i="84" s="1"/>
  <c r="AU4" i="84"/>
  <c r="AT4" i="84"/>
  <c r="AC82" i="84"/>
  <c r="AC94" i="84" s="1"/>
  <c r="AC71" i="84"/>
  <c r="Y94" i="84"/>
  <c r="AR18" i="84"/>
  <c r="AP85" i="84"/>
  <c r="AE83" i="84"/>
  <c r="AG53" i="84"/>
  <c r="AN59" i="84"/>
  <c r="AL91" i="84"/>
  <c r="AF52" i="84"/>
  <c r="AA88" i="84"/>
  <c r="AH53" i="84"/>
  <c r="AF83" i="84"/>
  <c r="AN45" i="84"/>
  <c r="AL87" i="84"/>
  <c r="AW15" i="84"/>
  <c r="AI46" i="84"/>
  <c r="AG87" i="84"/>
  <c r="AD82" i="84"/>
  <c r="AD94" i="84" s="1"/>
  <c r="AD71" i="84"/>
  <c r="W73" i="84"/>
  <c r="W74" i="84" s="1"/>
  <c r="AM45" i="84"/>
  <c r="BC42" i="84"/>
  <c r="AG52" i="84"/>
  <c r="AE88" i="84"/>
  <c r="W94" i="84"/>
  <c r="V73" i="84"/>
  <c r="V74" i="84" s="1"/>
  <c r="AO31" i="84"/>
  <c r="AM86" i="84"/>
  <c r="AI92" i="84"/>
  <c r="AK64" i="84"/>
  <c r="AX42" i="84"/>
  <c r="AL64" i="84"/>
  <c r="AJ92" i="84"/>
  <c r="AB82" i="84"/>
  <c r="AB94" i="84" s="1"/>
  <c r="AB71" i="84"/>
  <c r="AI18" i="84"/>
  <c r="AG85" i="84"/>
  <c r="AQ91" i="84" l="1"/>
  <c r="AS59" i="84"/>
  <c r="AJ28" i="84"/>
  <c r="AH84" i="84"/>
  <c r="AV31" i="84"/>
  <c r="AT86" i="84"/>
  <c r="AK92" i="84"/>
  <c r="AM64" i="84"/>
  <c r="AI52" i="84"/>
  <c r="AG88" i="84"/>
  <c r="AV4" i="84"/>
  <c r="AE73" i="84"/>
  <c r="AE74" i="84" s="1"/>
  <c r="AI53" i="84"/>
  <c r="AG83" i="84"/>
  <c r="AP45" i="84"/>
  <c r="AN87" i="84"/>
  <c r="AE94" i="84"/>
  <c r="AK18" i="84"/>
  <c r="AI85" i="84"/>
  <c r="AD73" i="84"/>
  <c r="AD74" i="84" s="1"/>
  <c r="AB73" i="84"/>
  <c r="AB74" i="84" s="1"/>
  <c r="BE42" i="84"/>
  <c r="AJ53" i="84"/>
  <c r="AH83" i="84"/>
  <c r="AT18" i="84"/>
  <c r="AR85" i="84"/>
  <c r="AI5" i="84"/>
  <c r="AG82" i="84"/>
  <c r="AG71" i="84"/>
  <c r="AO45" i="84"/>
  <c r="AK46" i="84"/>
  <c r="AI87" i="84"/>
  <c r="AH52" i="84"/>
  <c r="AF88" i="84"/>
  <c r="AC73" i="84"/>
  <c r="AC74" i="84" s="1"/>
  <c r="BF15" i="84"/>
  <c r="AQ31" i="84"/>
  <c r="AO86" i="84"/>
  <c r="AW4" i="84"/>
  <c r="AN64" i="84"/>
  <c r="AL92" i="84"/>
  <c r="AA94" i="84"/>
  <c r="AZ42" i="84"/>
  <c r="AY15" i="84"/>
  <c r="AP59" i="84"/>
  <c r="AN91" i="84"/>
  <c r="AI84" i="84"/>
  <c r="AK28" i="84"/>
  <c r="AA73" i="84"/>
  <c r="AA74" i="84"/>
  <c r="AH5" i="84"/>
  <c r="AF82" i="84"/>
  <c r="AF71" i="84"/>
  <c r="AJ84" i="84" l="1"/>
  <c r="AL28" i="84"/>
  <c r="AU59" i="84"/>
  <c r="AS91" i="84"/>
  <c r="AG94" i="84"/>
  <c r="AV86" i="84"/>
  <c r="AX31" i="84"/>
  <c r="AF94" i="84"/>
  <c r="AG73" i="84"/>
  <c r="AG74" i="84" s="1"/>
  <c r="BG42" i="84"/>
  <c r="BB42" i="84"/>
  <c r="AY4" i="84"/>
  <c r="AJ52" i="84"/>
  <c r="AH88" i="84"/>
  <c r="AR45" i="84"/>
  <c r="AP87" i="84"/>
  <c r="AK5" i="84"/>
  <c r="AI71" i="84"/>
  <c r="AI82" i="84"/>
  <c r="AX4" i="84"/>
  <c r="AS31" i="84"/>
  <c r="AQ86" i="84"/>
  <c r="AM46" i="84"/>
  <c r="AK87" i="84"/>
  <c r="AI83" i="84"/>
  <c r="AK53" i="84"/>
  <c r="BA15" i="84"/>
  <c r="AM28" i="84"/>
  <c r="AK84" i="84"/>
  <c r="AV18" i="84"/>
  <c r="AT85" i="84"/>
  <c r="AK52" i="84"/>
  <c r="AI88" i="84"/>
  <c r="AJ5" i="84"/>
  <c r="AH82" i="84"/>
  <c r="AH71" i="84"/>
  <c r="AF73" i="84"/>
  <c r="AF74" i="84" s="1"/>
  <c r="AR59" i="84"/>
  <c r="AP91" i="84"/>
  <c r="BH15" i="84"/>
  <c r="AQ45" i="84"/>
  <c r="AO64" i="84"/>
  <c r="AM92" i="84"/>
  <c r="AP64" i="84"/>
  <c r="AN92" i="84"/>
  <c r="AL53" i="84"/>
  <c r="AJ83" i="84"/>
  <c r="AM18" i="84"/>
  <c r="AK85" i="84"/>
  <c r="AW59" i="84" l="1"/>
  <c r="AU91" i="84"/>
  <c r="AN28" i="84"/>
  <c r="AL84" i="84"/>
  <c r="AH94" i="84"/>
  <c r="AZ31" i="84"/>
  <c r="AX86" i="84"/>
  <c r="AL5" i="84"/>
  <c r="AJ71" i="84"/>
  <c r="AJ82" i="84"/>
  <c r="BC15" i="84"/>
  <c r="AT45" i="84"/>
  <c r="AR87" i="84"/>
  <c r="AM53" i="84"/>
  <c r="AK83" i="84"/>
  <c r="AM52" i="84"/>
  <c r="AK88" i="84"/>
  <c r="AL52" i="84"/>
  <c r="AJ88" i="84"/>
  <c r="AZ4" i="84"/>
  <c r="BI42" i="84"/>
  <c r="AS45" i="84"/>
  <c r="AL83" i="84"/>
  <c r="AN53" i="84"/>
  <c r="BJ15" i="84"/>
  <c r="AX18" i="84"/>
  <c r="AV85" i="84"/>
  <c r="AO46" i="84"/>
  <c r="AM87" i="84"/>
  <c r="AI94" i="84"/>
  <c r="AR64" i="84"/>
  <c r="AP92" i="84"/>
  <c r="AR91" i="84"/>
  <c r="AT59" i="84"/>
  <c r="AQ64" i="84"/>
  <c r="AO92" i="84"/>
  <c r="BA4" i="84"/>
  <c r="AO18" i="84"/>
  <c r="AM85" i="84"/>
  <c r="AO28" i="84"/>
  <c r="AM84" i="84"/>
  <c r="AU31" i="84"/>
  <c r="AS86" i="84"/>
  <c r="AM5" i="84"/>
  <c r="AK71" i="84"/>
  <c r="AK82" i="84"/>
  <c r="BD42" i="84"/>
  <c r="AP28" i="84" l="1"/>
  <c r="AN84" i="84"/>
  <c r="AW91" i="84"/>
  <c r="AY59" i="84"/>
  <c r="AK94" i="84"/>
  <c r="AZ86" i="84"/>
  <c r="BB31" i="84"/>
  <c r="AV45" i="84"/>
  <c r="AT87" i="84"/>
  <c r="AO5" i="84"/>
  <c r="AM71" i="84"/>
  <c r="AM82" i="84"/>
  <c r="BC4" i="84"/>
  <c r="AS64" i="84"/>
  <c r="AQ92" i="84"/>
  <c r="AN52" i="84"/>
  <c r="AL88" i="84"/>
  <c r="BF42" i="84"/>
  <c r="AW31" i="84"/>
  <c r="AU86" i="84"/>
  <c r="AU45" i="84"/>
  <c r="AQ28" i="84"/>
  <c r="AO84" i="84"/>
  <c r="AT91" i="84"/>
  <c r="AV59" i="84"/>
  <c r="AZ18" i="84"/>
  <c r="AX85" i="84"/>
  <c r="BK42" i="84"/>
  <c r="BB4" i="84"/>
  <c r="AO52" i="84"/>
  <c r="AM88" i="84"/>
  <c r="BE15" i="84"/>
  <c r="AQ18" i="84"/>
  <c r="AO85" i="84"/>
  <c r="AQ46" i="84"/>
  <c r="AO87" i="84"/>
  <c r="BL15" i="84"/>
  <c r="AJ94" i="84"/>
  <c r="AT64" i="84"/>
  <c r="AR92" i="84"/>
  <c r="AN83" i="84"/>
  <c r="AP53" i="84"/>
  <c r="AO53" i="84"/>
  <c r="AM83" i="84"/>
  <c r="AN5" i="84"/>
  <c r="AL71" i="84"/>
  <c r="AL82" i="84"/>
  <c r="AL94" i="84" l="1"/>
  <c r="BA59" i="84"/>
  <c r="AY91" i="84"/>
  <c r="AP84" i="84"/>
  <c r="AR28" i="84"/>
  <c r="BB86" i="84"/>
  <c r="BD31" i="84"/>
  <c r="AM94" i="84"/>
  <c r="BM42" i="84"/>
  <c r="BB18" i="84"/>
  <c r="AZ85" i="84"/>
  <c r="AW45" i="84"/>
  <c r="AP52" i="84"/>
  <c r="AN88" i="84"/>
  <c r="AQ5" i="84"/>
  <c r="AO71" i="84"/>
  <c r="AO82" i="84"/>
  <c r="AS18" i="84"/>
  <c r="AQ85" i="84"/>
  <c r="BE4" i="84"/>
  <c r="AV64" i="84"/>
  <c r="AT92" i="84"/>
  <c r="BN15" i="84"/>
  <c r="AQ52" i="84"/>
  <c r="AO88" i="84"/>
  <c r="AX59" i="84"/>
  <c r="AV91" i="84"/>
  <c r="AQ53" i="84"/>
  <c r="AO83" i="84"/>
  <c r="AY31" i="84"/>
  <c r="AW86" i="84"/>
  <c r="AU64" i="84"/>
  <c r="AS92" i="84"/>
  <c r="AX45" i="84"/>
  <c r="AV87" i="84"/>
  <c r="BG15" i="84"/>
  <c r="AP5" i="84"/>
  <c r="AN71" i="84"/>
  <c r="AN82" i="84"/>
  <c r="AR53" i="84"/>
  <c r="AP83" i="84"/>
  <c r="AS46" i="84"/>
  <c r="AQ87" i="84"/>
  <c r="BD4" i="84"/>
  <c r="AS28" i="84"/>
  <c r="AQ84" i="84"/>
  <c r="BH42" i="84"/>
  <c r="AN94" i="84" l="1"/>
  <c r="AT28" i="84"/>
  <c r="AR84" i="84"/>
  <c r="BC59" i="84"/>
  <c r="BA91" i="84"/>
  <c r="BF31" i="84"/>
  <c r="BD86" i="84"/>
  <c r="AT53" i="84"/>
  <c r="AR83" i="84"/>
  <c r="AU28" i="84"/>
  <c r="AS84" i="84"/>
  <c r="BF4" i="84"/>
  <c r="AR5" i="84"/>
  <c r="AP82" i="84"/>
  <c r="AP71" i="84"/>
  <c r="AY86" i="84"/>
  <c r="BA31" i="84"/>
  <c r="BP15" i="84"/>
  <c r="AY45" i="84"/>
  <c r="AU18" i="84"/>
  <c r="AS85" i="84"/>
  <c r="BI15" i="84"/>
  <c r="AQ83" i="84"/>
  <c r="AS53" i="84"/>
  <c r="AV92" i="84"/>
  <c r="AX64" i="84"/>
  <c r="AO94" i="84"/>
  <c r="BD18" i="84"/>
  <c r="BB85" i="84"/>
  <c r="AU46" i="84"/>
  <c r="AS87" i="84"/>
  <c r="BJ42" i="84"/>
  <c r="AZ45" i="84"/>
  <c r="AX87" i="84"/>
  <c r="AZ59" i="84"/>
  <c r="AX91" i="84"/>
  <c r="AS5" i="84"/>
  <c r="AQ71" i="84"/>
  <c r="AQ82" i="84"/>
  <c r="BG4" i="84"/>
  <c r="BO42" i="84"/>
  <c r="AU92" i="84"/>
  <c r="AW64" i="84"/>
  <c r="AS52" i="84"/>
  <c r="AQ88" i="84"/>
  <c r="AR52" i="84"/>
  <c r="AP88" i="84"/>
  <c r="BC91" i="84" l="1"/>
  <c r="BE59" i="84"/>
  <c r="AV28" i="84"/>
  <c r="AT84" i="84"/>
  <c r="BH31" i="84"/>
  <c r="BF86" i="84"/>
  <c r="AT52" i="84"/>
  <c r="AR88" i="84"/>
  <c r="BB59" i="84"/>
  <c r="AZ91" i="84"/>
  <c r="BF18" i="84"/>
  <c r="BD85" i="84"/>
  <c r="AU52" i="84"/>
  <c r="AS88" i="84"/>
  <c r="BB45" i="84"/>
  <c r="AZ87" i="84"/>
  <c r="AZ64" i="84"/>
  <c r="AX92" i="84"/>
  <c r="AT5" i="84"/>
  <c r="AR82" i="84"/>
  <c r="AR71" i="84"/>
  <c r="AQ94" i="84"/>
  <c r="AU53" i="84"/>
  <c r="AS83" i="84"/>
  <c r="BR15" i="84"/>
  <c r="BH4" i="84"/>
  <c r="AY64" i="84"/>
  <c r="AW92" i="84"/>
  <c r="BQ42" i="84"/>
  <c r="AU5" i="84"/>
  <c r="AS71" i="84"/>
  <c r="AS82" i="84"/>
  <c r="AW46" i="84"/>
  <c r="AU87" i="84"/>
  <c r="BK15" i="84"/>
  <c r="BC31" i="84"/>
  <c r="BA86" i="84"/>
  <c r="AW28" i="84"/>
  <c r="AU84" i="84"/>
  <c r="BL42" i="84"/>
  <c r="BA45" i="84"/>
  <c r="BI4" i="84"/>
  <c r="AW18" i="84"/>
  <c r="AU85" i="84"/>
  <c r="AP94" i="84"/>
  <c r="AT83" i="84"/>
  <c r="AV53" i="84"/>
  <c r="AR94" i="84" l="1"/>
  <c r="AV84" i="84"/>
  <c r="AX28" i="84"/>
  <c r="BG59" i="84"/>
  <c r="BE91" i="84"/>
  <c r="BH86" i="84"/>
  <c r="BJ31" i="84"/>
  <c r="AS94" i="84"/>
  <c r="AY92" i="84"/>
  <c r="BA64" i="84"/>
  <c r="AW5" i="84"/>
  <c r="AU71" i="84"/>
  <c r="AU82" i="84"/>
  <c r="BN42" i="84"/>
  <c r="BE31" i="84"/>
  <c r="BC86" i="84"/>
  <c r="AV5" i="84"/>
  <c r="AT82" i="84"/>
  <c r="AT71" i="84"/>
  <c r="BH18" i="84"/>
  <c r="BF85" i="84"/>
  <c r="AY18" i="84"/>
  <c r="AW85" i="84"/>
  <c r="BS42" i="84"/>
  <c r="BM15" i="84"/>
  <c r="BT15" i="84"/>
  <c r="AZ92" i="84"/>
  <c r="BB64" i="84"/>
  <c r="BD59" i="84"/>
  <c r="BB91" i="84"/>
  <c r="AV83" i="84"/>
  <c r="AX53" i="84"/>
  <c r="BC45" i="84"/>
  <c r="AY28" i="84"/>
  <c r="AW84" i="84"/>
  <c r="BJ4" i="84"/>
  <c r="AW52" i="84"/>
  <c r="AU88" i="84"/>
  <c r="BK4" i="84"/>
  <c r="AY46" i="84"/>
  <c r="AW87" i="84"/>
  <c r="AW53" i="84"/>
  <c r="AU83" i="84"/>
  <c r="BD45" i="84"/>
  <c r="BB87" i="84"/>
  <c r="AV52" i="84"/>
  <c r="AT88" i="84"/>
  <c r="BI59" i="84" l="1"/>
  <c r="BG91" i="84"/>
  <c r="AZ28" i="84"/>
  <c r="AX84" i="84"/>
  <c r="BJ86" i="84"/>
  <c r="BL31" i="84"/>
  <c r="AU94" i="84"/>
  <c r="BA28" i="84"/>
  <c r="AY84" i="84"/>
  <c r="BA46" i="84"/>
  <c r="AY87" i="84"/>
  <c r="BE45" i="84"/>
  <c r="BV15" i="84"/>
  <c r="BA18" i="84"/>
  <c r="AY85" i="84"/>
  <c r="BP42" i="84"/>
  <c r="AV88" i="84"/>
  <c r="AX52" i="84"/>
  <c r="BM4" i="84"/>
  <c r="BL4" i="84"/>
  <c r="BF45" i="84"/>
  <c r="BD87" i="84"/>
  <c r="BF59" i="84"/>
  <c r="BD91" i="84"/>
  <c r="AT94" i="84"/>
  <c r="AY5" i="84"/>
  <c r="AW71" i="84"/>
  <c r="AW82" i="84"/>
  <c r="AW88" i="84"/>
  <c r="AY52" i="84"/>
  <c r="AZ53" i="84"/>
  <c r="AX83" i="84"/>
  <c r="BO15" i="84"/>
  <c r="BJ18" i="84"/>
  <c r="BH85" i="84"/>
  <c r="BD64" i="84"/>
  <c r="BB92" i="84"/>
  <c r="AX5" i="84"/>
  <c r="AV82" i="84"/>
  <c r="AV71" i="84"/>
  <c r="BC64" i="84"/>
  <c r="BA92" i="84"/>
  <c r="AY53" i="84"/>
  <c r="AW83" i="84"/>
  <c r="BU42" i="84"/>
  <c r="BE86" i="84"/>
  <c r="BG31" i="84"/>
  <c r="AZ84" i="84" l="1"/>
  <c r="BB28" i="84"/>
  <c r="BK59" i="84"/>
  <c r="BI91" i="84"/>
  <c r="AV94" i="84"/>
  <c r="BN31" i="84"/>
  <c r="BL86" i="84"/>
  <c r="AW94" i="84"/>
  <c r="AZ52" i="84"/>
  <c r="AX88" i="84"/>
  <c r="BI31" i="84"/>
  <c r="BG86" i="84"/>
  <c r="BL18" i="84"/>
  <c r="BJ85" i="84"/>
  <c r="BH45" i="84"/>
  <c r="BF87" i="84"/>
  <c r="BG45" i="84"/>
  <c r="BC92" i="84"/>
  <c r="BE64" i="84"/>
  <c r="BA5" i="84"/>
  <c r="AY82" i="84"/>
  <c r="AY71" i="84"/>
  <c r="BW42" i="84"/>
  <c r="AZ5" i="84"/>
  <c r="AX82" i="84"/>
  <c r="AX71" i="84"/>
  <c r="BQ15" i="84"/>
  <c r="BR42" i="84"/>
  <c r="BC46" i="84"/>
  <c r="BA87" i="84"/>
  <c r="BN4" i="84"/>
  <c r="BF64" i="84"/>
  <c r="BD92" i="84"/>
  <c r="AZ83" i="84"/>
  <c r="BB53" i="84"/>
  <c r="BC18" i="84"/>
  <c r="BA85" i="84"/>
  <c r="BA53" i="84"/>
  <c r="AY83" i="84"/>
  <c r="BO4" i="84"/>
  <c r="BM82" i="84"/>
  <c r="AY88" i="84"/>
  <c r="BA52" i="84"/>
  <c r="BF91" i="84"/>
  <c r="BH59" i="84"/>
  <c r="BX15" i="84"/>
  <c r="BA84" i="84"/>
  <c r="BC28" i="84"/>
  <c r="BM59" i="84" l="1"/>
  <c r="BK91" i="84"/>
  <c r="BD28" i="84"/>
  <c r="BB84" i="84"/>
  <c r="AX94" i="84"/>
  <c r="BN86" i="84"/>
  <c r="BP31" i="84"/>
  <c r="BA83" i="84"/>
  <c r="BC53" i="84"/>
  <c r="BF92" i="84"/>
  <c r="BH64" i="84"/>
  <c r="BY42" i="84"/>
  <c r="BO82" i="84"/>
  <c r="BQ4" i="84"/>
  <c r="BT42" i="84"/>
  <c r="BJ45" i="84"/>
  <c r="BH87" i="84"/>
  <c r="BE28" i="84"/>
  <c r="BC84" i="84"/>
  <c r="AY94" i="84"/>
  <c r="BN82" i="84"/>
  <c r="BP4" i="84"/>
  <c r="BS15" i="84"/>
  <c r="BC5" i="84"/>
  <c r="BA71" i="84"/>
  <c r="BA82" i="84"/>
  <c r="BN18" i="84"/>
  <c r="BL85" i="84"/>
  <c r="BC52" i="84"/>
  <c r="BA88" i="84"/>
  <c r="BE18" i="84"/>
  <c r="BC85" i="84"/>
  <c r="BZ15" i="84"/>
  <c r="BG64" i="84"/>
  <c r="BE92" i="84"/>
  <c r="BD53" i="84"/>
  <c r="BB83" i="84"/>
  <c r="BI86" i="84"/>
  <c r="BK31" i="84"/>
  <c r="BJ59" i="84"/>
  <c r="BH91" i="84"/>
  <c r="BB5" i="84"/>
  <c r="AZ82" i="84"/>
  <c r="AZ71" i="84"/>
  <c r="BE46" i="84"/>
  <c r="BC87" i="84"/>
  <c r="BI45" i="84"/>
  <c r="BB52" i="84"/>
  <c r="AZ88" i="84"/>
  <c r="BF28" i="84" l="1"/>
  <c r="BD84" i="84"/>
  <c r="BO59" i="84"/>
  <c r="BM91" i="84"/>
  <c r="BR31" i="84"/>
  <c r="BP86" i="84"/>
  <c r="AZ94" i="84"/>
  <c r="BU15" i="84"/>
  <c r="BG28" i="84"/>
  <c r="BE84" i="84"/>
  <c r="BE52" i="84"/>
  <c r="BC88" i="84"/>
  <c r="BD5" i="84"/>
  <c r="BB71" i="84"/>
  <c r="BB82" i="84"/>
  <c r="BI64" i="84"/>
  <c r="BG92" i="84"/>
  <c r="BP82" i="84"/>
  <c r="BR4" i="84"/>
  <c r="BL45" i="84"/>
  <c r="BJ87" i="84"/>
  <c r="BL59" i="84"/>
  <c r="BJ91" i="84"/>
  <c r="BK45" i="84"/>
  <c r="BK86" i="84"/>
  <c r="BM31" i="84"/>
  <c r="BP18" i="84"/>
  <c r="BN85" i="84"/>
  <c r="CA42" i="84"/>
  <c r="BA94" i="84"/>
  <c r="BV42" i="84"/>
  <c r="BJ64" i="84"/>
  <c r="BH92" i="84"/>
  <c r="CB15" i="84"/>
  <c r="BD52" i="84"/>
  <c r="BB88" i="84"/>
  <c r="BG46" i="84"/>
  <c r="BE87" i="84"/>
  <c r="BF53" i="84"/>
  <c r="BD83" i="84"/>
  <c r="BE5" i="84"/>
  <c r="BC71" i="84"/>
  <c r="BC82" i="84"/>
  <c r="BC83" i="84"/>
  <c r="BE53" i="84"/>
  <c r="BG18" i="84"/>
  <c r="BE85" i="84"/>
  <c r="BS4" i="84"/>
  <c r="BQ82" i="84"/>
  <c r="BQ59" i="84" l="1"/>
  <c r="BO91" i="84"/>
  <c r="K53" i="41" s="1"/>
  <c r="K59" i="41" s="1"/>
  <c r="BF84" i="84"/>
  <c r="BH28" i="84"/>
  <c r="BT31" i="84"/>
  <c r="BR86" i="84"/>
  <c r="BC94" i="84"/>
  <c r="BH53" i="84"/>
  <c r="BF83" i="84"/>
  <c r="BU4" i="84"/>
  <c r="BS82" i="84"/>
  <c r="BX42" i="84"/>
  <c r="BT4" i="84"/>
  <c r="BR82" i="84"/>
  <c r="BF5" i="84"/>
  <c r="BD82" i="84"/>
  <c r="BD71" i="84"/>
  <c r="BF52" i="84"/>
  <c r="BD88" i="84"/>
  <c r="BI18" i="84"/>
  <c r="BG85" i="84"/>
  <c r="CC42" i="84"/>
  <c r="BM45" i="84"/>
  <c r="BG52" i="84"/>
  <c r="BE88" i="84"/>
  <c r="BG53" i="84"/>
  <c r="BE83" i="84"/>
  <c r="BG5" i="84"/>
  <c r="BE82" i="84"/>
  <c r="BE71" i="84"/>
  <c r="CD15" i="84"/>
  <c r="BN59" i="84"/>
  <c r="BL91" i="84"/>
  <c r="BG84" i="84"/>
  <c r="BI28" i="84"/>
  <c r="BI92" i="84"/>
  <c r="BK64" i="84"/>
  <c r="BJ92" i="84"/>
  <c r="BL64" i="84"/>
  <c r="BR18" i="84"/>
  <c r="BP85" i="84"/>
  <c r="BN45" i="84"/>
  <c r="BL87" i="84"/>
  <c r="BB94" i="84"/>
  <c r="BW15" i="84"/>
  <c r="BI46" i="84"/>
  <c r="BG87" i="84"/>
  <c r="BM86" i="84"/>
  <c r="BO31" i="84"/>
  <c r="BJ28" i="84" l="1"/>
  <c r="BH84" i="84"/>
  <c r="BS59" i="84"/>
  <c r="BQ91" i="84"/>
  <c r="BD94" i="84"/>
  <c r="BV31" i="84"/>
  <c r="BT86" i="84"/>
  <c r="BE94" i="84"/>
  <c r="BH52" i="84"/>
  <c r="BF88" i="84"/>
  <c r="BQ31" i="84"/>
  <c r="BO86" i="84"/>
  <c r="K53" i="44" s="1"/>
  <c r="K59" i="44" s="1"/>
  <c r="BI84" i="84"/>
  <c r="BK28" i="84"/>
  <c r="BI5" i="84"/>
  <c r="BG71" i="84"/>
  <c r="BG82" i="84"/>
  <c r="BO45" i="84"/>
  <c r="CE42" i="84"/>
  <c r="BH5" i="84"/>
  <c r="BF71" i="84"/>
  <c r="BF82" i="84"/>
  <c r="BK46" i="84"/>
  <c r="BI87" i="84"/>
  <c r="BT18" i="84"/>
  <c r="BR85" i="84"/>
  <c r="BP59" i="84"/>
  <c r="BN91" i="84"/>
  <c r="BN64" i="84"/>
  <c r="BL92" i="84"/>
  <c r="CF15" i="84"/>
  <c r="CH15" i="84" s="1"/>
  <c r="CJ15" i="84" s="1"/>
  <c r="BG83" i="84"/>
  <c r="BI53" i="84"/>
  <c r="BK18" i="84"/>
  <c r="BI85" i="84"/>
  <c r="BW4" i="84"/>
  <c r="BU82" i="84"/>
  <c r="BP45" i="84"/>
  <c r="BN87" i="84"/>
  <c r="BT82" i="84"/>
  <c r="BV4" i="84"/>
  <c r="BY15" i="84"/>
  <c r="BM64" i="84"/>
  <c r="BK92" i="84"/>
  <c r="BI52" i="84"/>
  <c r="BG88" i="84"/>
  <c r="BZ42" i="84"/>
  <c r="BJ53" i="84"/>
  <c r="BH83" i="84"/>
  <c r="BU59" i="84" l="1"/>
  <c r="BS91" i="84"/>
  <c r="BL28" i="84"/>
  <c r="BJ84" i="84"/>
  <c r="BF94" i="84"/>
  <c r="BX31" i="84"/>
  <c r="BV86" i="84"/>
  <c r="BK5" i="84"/>
  <c r="BI82" i="84"/>
  <c r="BI71" i="84"/>
  <c r="BL53" i="84"/>
  <c r="BJ83" i="84"/>
  <c r="CA15" i="84"/>
  <c r="BM46" i="84"/>
  <c r="BK87" i="84"/>
  <c r="BM28" i="84"/>
  <c r="BK84" i="84"/>
  <c r="BN92" i="84"/>
  <c r="BP64" i="84"/>
  <c r="BS31" i="84"/>
  <c r="BQ86" i="84"/>
  <c r="BK52" i="84"/>
  <c r="BI88" i="84"/>
  <c r="BM18" i="84"/>
  <c r="BK85" i="84"/>
  <c r="BR59" i="84"/>
  <c r="BP91" i="84"/>
  <c r="BJ5" i="84"/>
  <c r="BH82" i="84"/>
  <c r="BH71" i="84"/>
  <c r="BQ45" i="84"/>
  <c r="CG42" i="84"/>
  <c r="CI42" i="84" s="1"/>
  <c r="BG94" i="84"/>
  <c r="BJ52" i="84"/>
  <c r="BH88" i="84"/>
  <c r="BX4" i="84"/>
  <c r="BV82" i="84"/>
  <c r="BY4" i="84"/>
  <c r="BW82" i="84"/>
  <c r="CB42" i="84"/>
  <c r="BK53" i="84"/>
  <c r="BI83" i="84"/>
  <c r="BO64" i="84"/>
  <c r="BM92" i="84"/>
  <c r="BR45" i="84"/>
  <c r="BP87" i="84"/>
  <c r="BV18" i="84"/>
  <c r="BT85" i="84"/>
  <c r="BL84" i="84" l="1"/>
  <c r="BN28" i="84"/>
  <c r="BW59" i="84"/>
  <c r="BU91" i="84"/>
  <c r="BZ31" i="84"/>
  <c r="BZ86" i="84" s="1"/>
  <c r="BX86" i="84"/>
  <c r="CA4" i="84"/>
  <c r="BY82" i="84"/>
  <c r="BX18" i="84"/>
  <c r="BV85" i="84"/>
  <c r="BO18" i="84"/>
  <c r="BM85" i="84"/>
  <c r="CC15" i="84"/>
  <c r="BT45" i="84"/>
  <c r="BR87" i="84"/>
  <c r="BQ64" i="84"/>
  <c r="BO92" i="84"/>
  <c r="K53" i="48" s="1"/>
  <c r="K59" i="48" s="1"/>
  <c r="BS45" i="84"/>
  <c r="BM53" i="84"/>
  <c r="BK83" i="84"/>
  <c r="BZ4" i="84"/>
  <c r="BX82" i="84"/>
  <c r="BM52" i="84"/>
  <c r="BK88" i="84"/>
  <c r="BO28" i="84"/>
  <c r="BM84" i="84"/>
  <c r="BN53" i="84"/>
  <c r="BL83" i="84"/>
  <c r="BH94" i="84"/>
  <c r="CD42" i="84"/>
  <c r="BL52" i="84"/>
  <c r="BJ88" i="84"/>
  <c r="BL5" i="84"/>
  <c r="BJ82" i="84"/>
  <c r="BJ71" i="84"/>
  <c r="BU31" i="84"/>
  <c r="BS86" i="84"/>
  <c r="BI94" i="84"/>
  <c r="BR64" i="84"/>
  <c r="BP92" i="84"/>
  <c r="BK71" i="84"/>
  <c r="BK82" i="84"/>
  <c r="BR91" i="84"/>
  <c r="BT59" i="84"/>
  <c r="BO46" i="84"/>
  <c r="BM87" i="84"/>
  <c r="BY59" i="84" l="1"/>
  <c r="BW91" i="84"/>
  <c r="BJ94" i="84"/>
  <c r="BN84" i="84"/>
  <c r="BP28" i="84"/>
  <c r="CF42" i="84"/>
  <c r="CH42" i="84" s="1"/>
  <c r="CJ42" i="84" s="1"/>
  <c r="BK94" i="84"/>
  <c r="BW31" i="84"/>
  <c r="BU86" i="84"/>
  <c r="BS64" i="84"/>
  <c r="BQ92" i="84"/>
  <c r="BQ18" i="84"/>
  <c r="BO85" i="84"/>
  <c r="K53" i="53" s="1"/>
  <c r="K59" i="53" s="1"/>
  <c r="CB4" i="84"/>
  <c r="BZ82" i="84"/>
  <c r="BP53" i="84"/>
  <c r="BN83" i="84"/>
  <c r="BT64" i="84"/>
  <c r="BR92" i="84"/>
  <c r="BL82" i="84"/>
  <c r="BL71" i="84"/>
  <c r="BO53" i="84"/>
  <c r="BM83" i="84"/>
  <c r="BV45" i="84"/>
  <c r="BT87" i="84"/>
  <c r="BZ18" i="84"/>
  <c r="BX85" i="84"/>
  <c r="BQ46" i="84"/>
  <c r="BO87" i="84"/>
  <c r="BQ28" i="84"/>
  <c r="BO84" i="84"/>
  <c r="K53" i="52" s="1"/>
  <c r="J59" i="52" s="1"/>
  <c r="BV59" i="84"/>
  <c r="BT91" i="84"/>
  <c r="BN52" i="84"/>
  <c r="BL88" i="84"/>
  <c r="BU45" i="84"/>
  <c r="CE15" i="84"/>
  <c r="BO52" i="84"/>
  <c r="BM88" i="84"/>
  <c r="BM71" i="84"/>
  <c r="CC4" i="84"/>
  <c r="CA82" i="84"/>
  <c r="K53" i="50" l="1"/>
  <c r="K59" i="50" s="1"/>
  <c r="BR28" i="84"/>
  <c r="BP84" i="84"/>
  <c r="CA59" i="84"/>
  <c r="BY91" i="84"/>
  <c r="CG15" i="84"/>
  <c r="CI15" i="84" s="1"/>
  <c r="BS18" i="84"/>
  <c r="BQ85" i="84"/>
  <c r="BX45" i="84"/>
  <c r="BV87" i="84"/>
  <c r="BR53" i="84"/>
  <c r="BP83" i="84"/>
  <c r="CE4" i="84"/>
  <c r="CC82" i="84"/>
  <c r="BW45" i="84"/>
  <c r="BS28" i="84"/>
  <c r="BQ84" i="84"/>
  <c r="BM94" i="84"/>
  <c r="BU64" i="84"/>
  <c r="BS92" i="84"/>
  <c r="BV91" i="84"/>
  <c r="BX59" i="84"/>
  <c r="BQ53" i="84"/>
  <c r="BO83" i="84"/>
  <c r="BP52" i="84"/>
  <c r="BN88" i="84"/>
  <c r="BN94" i="84" s="1"/>
  <c r="BN71" i="84"/>
  <c r="BS46" i="84"/>
  <c r="BQ87" i="84"/>
  <c r="CD4" i="84"/>
  <c r="CB82" i="84"/>
  <c r="BW86" i="84"/>
  <c r="BY31" i="84"/>
  <c r="BL94" i="84"/>
  <c r="BQ52" i="84"/>
  <c r="BO88" i="84"/>
  <c r="K53" i="43" s="1"/>
  <c r="K59" i="43" s="1"/>
  <c r="CB18" i="84"/>
  <c r="BZ85" i="84"/>
  <c r="BO71" i="84"/>
  <c r="BV64" i="84"/>
  <c r="BT92" i="84"/>
  <c r="CA91" i="84" l="1"/>
  <c r="CC59" i="84"/>
  <c r="BT28" i="84"/>
  <c r="BR84" i="84"/>
  <c r="BV92" i="84"/>
  <c r="BX64" i="84"/>
  <c r="BS52" i="84"/>
  <c r="BQ88" i="84"/>
  <c r="BU46" i="84"/>
  <c r="BS87" i="84"/>
  <c r="BQ71" i="84"/>
  <c r="CA31" i="84"/>
  <c r="CA86" i="84" s="1"/>
  <c r="BY86" i="84"/>
  <c r="BW64" i="84"/>
  <c r="BU92" i="84"/>
  <c r="CG4" i="84"/>
  <c r="CI4" i="84" s="1"/>
  <c r="CE82" i="84"/>
  <c r="BU18" i="84"/>
  <c r="BS85" i="84"/>
  <c r="BR52" i="84"/>
  <c r="BP88" i="84"/>
  <c r="BP94" i="84" s="1"/>
  <c r="BP71" i="84"/>
  <c r="CD18" i="84"/>
  <c r="CB85" i="84"/>
  <c r="BT53" i="84"/>
  <c r="BR83" i="84"/>
  <c r="K53" i="45"/>
  <c r="K59" i="45" s="1"/>
  <c r="BO94" i="84"/>
  <c r="BU28" i="84"/>
  <c r="BS84" i="84"/>
  <c r="CF4" i="84"/>
  <c r="CH4" i="84" s="1"/>
  <c r="CJ4" i="84" s="1"/>
  <c r="CJ82" i="84" s="1"/>
  <c r="CD82" i="84"/>
  <c r="BS53" i="84"/>
  <c r="BQ83" i="84"/>
  <c r="BZ59" i="84"/>
  <c r="BX91" i="84"/>
  <c r="BY45" i="84"/>
  <c r="BZ45" i="84"/>
  <c r="BX87" i="84"/>
  <c r="BQ94" i="84" l="1"/>
  <c r="CI82" i="84"/>
  <c r="CH82" i="84"/>
  <c r="BV28" i="84"/>
  <c r="BT84" i="84"/>
  <c r="CE59" i="84"/>
  <c r="CC91" i="84"/>
  <c r="CF82" i="84"/>
  <c r="CB59" i="84"/>
  <c r="BZ91" i="84"/>
  <c r="BW28" i="84"/>
  <c r="BU84" i="84"/>
  <c r="CF18" i="84"/>
  <c r="CD85" i="84"/>
  <c r="BZ64" i="84"/>
  <c r="BX92" i="84"/>
  <c r="CA45" i="84"/>
  <c r="CG82" i="84"/>
  <c r="BW46" i="84"/>
  <c r="BU87" i="84"/>
  <c r="BU53" i="84"/>
  <c r="BS83" i="84"/>
  <c r="BT52" i="84"/>
  <c r="BR88" i="84"/>
  <c r="BR94" i="84" s="1"/>
  <c r="BR71" i="84"/>
  <c r="BV53" i="84"/>
  <c r="BT83" i="84"/>
  <c r="CB45" i="84"/>
  <c r="BZ87" i="84"/>
  <c r="BS71" i="84"/>
  <c r="BY64" i="84"/>
  <c r="BW92" i="84"/>
  <c r="BS88" i="84"/>
  <c r="BU52" i="84"/>
  <c r="BU71" i="84" s="1"/>
  <c r="BW18" i="84"/>
  <c r="BU85" i="84"/>
  <c r="CG59" i="84" l="1"/>
  <c r="CE91" i="84"/>
  <c r="CF85" i="84"/>
  <c r="CH18" i="84"/>
  <c r="CJ18" i="84" s="1"/>
  <c r="BX28" i="84"/>
  <c r="BV84" i="84"/>
  <c r="BY46" i="84"/>
  <c r="BW87" i="84"/>
  <c r="CA64" i="84"/>
  <c r="BY92" i="84"/>
  <c r="BY28" i="84"/>
  <c r="BW84" i="84"/>
  <c r="BV52" i="84"/>
  <c r="BT88" i="84"/>
  <c r="BT94" i="84" s="1"/>
  <c r="BT71" i="84"/>
  <c r="CC45" i="84"/>
  <c r="BX53" i="84"/>
  <c r="BV83" i="84"/>
  <c r="BS94" i="84"/>
  <c r="CD59" i="84"/>
  <c r="CB91" i="84"/>
  <c r="BY18" i="84"/>
  <c r="BW85" i="84"/>
  <c r="BW52" i="84"/>
  <c r="BU88" i="84"/>
  <c r="BW53" i="84"/>
  <c r="BU83" i="84"/>
  <c r="CB64" i="84"/>
  <c r="BZ92" i="84"/>
  <c r="CD45" i="84"/>
  <c r="CB87" i="84"/>
  <c r="CJ85" i="84" l="1"/>
  <c r="CG91" i="84"/>
  <c r="CI59" i="84"/>
  <c r="CI91" i="84" s="1"/>
  <c r="BX84" i="84"/>
  <c r="BZ28" i="84"/>
  <c r="CH85" i="84"/>
  <c r="CA28" i="84"/>
  <c r="BY84" i="84"/>
  <c r="BW88" i="84"/>
  <c r="BY52" i="84"/>
  <c r="J47" i="1"/>
  <c r="J52" i="1" s="1"/>
  <c r="I20" i="1" s="1"/>
  <c r="K53" i="2"/>
  <c r="K59" i="2" s="1"/>
  <c r="CF45" i="84"/>
  <c r="CH45" i="84" s="1"/>
  <c r="CD87" i="84"/>
  <c r="BW71" i="84"/>
  <c r="BZ53" i="84"/>
  <c r="BX83" i="84"/>
  <c r="CE45" i="84"/>
  <c r="CA18" i="84"/>
  <c r="BY85" i="84"/>
  <c r="CC64" i="84"/>
  <c r="CA92" i="84"/>
  <c r="BU94" i="84"/>
  <c r="CD91" i="84"/>
  <c r="CF59" i="84"/>
  <c r="BX52" i="84"/>
  <c r="BV88" i="84"/>
  <c r="BV94" i="84" s="1"/>
  <c r="BV71" i="84"/>
  <c r="CA46" i="84"/>
  <c r="BY87" i="84"/>
  <c r="CD64" i="84"/>
  <c r="CB92" i="84"/>
  <c r="BY53" i="84"/>
  <c r="BW83" i="84"/>
  <c r="CH87" i="84" l="1"/>
  <c r="CJ45" i="84"/>
  <c r="CF91" i="84"/>
  <c r="CH59" i="84"/>
  <c r="CB28" i="84"/>
  <c r="BZ84" i="84"/>
  <c r="BW94" i="84"/>
  <c r="BZ52" i="84"/>
  <c r="BX88" i="84"/>
  <c r="BX94" i="84" s="1"/>
  <c r="BX71" i="84"/>
  <c r="CC18" i="84"/>
  <c r="CA85" i="84"/>
  <c r="CF87" i="84"/>
  <c r="CA52" i="84"/>
  <c r="BY88" i="84"/>
  <c r="CG45" i="84"/>
  <c r="CI45" i="84" s="1"/>
  <c r="CD92" i="84"/>
  <c r="CF64" i="84"/>
  <c r="CA53" i="84"/>
  <c r="BY83" i="84"/>
  <c r="CB53" i="84"/>
  <c r="BZ83" i="84"/>
  <c r="CC46" i="84"/>
  <c r="CA87" i="84"/>
  <c r="CC92" i="84"/>
  <c r="CE64" i="84"/>
  <c r="BY71" i="84"/>
  <c r="CC28" i="84"/>
  <c r="CA84" i="84"/>
  <c r="CH91" i="84" l="1"/>
  <c r="CJ59" i="84"/>
  <c r="CJ91" i="84" s="1"/>
  <c r="CJ87" i="84"/>
  <c r="CD28" i="84"/>
  <c r="CB84" i="84"/>
  <c r="CF92" i="84"/>
  <c r="CH64" i="84"/>
  <c r="CC52" i="84"/>
  <c r="CA88" i="84"/>
  <c r="CC84" i="84"/>
  <c r="CE28" i="84"/>
  <c r="CA83" i="84"/>
  <c r="CC53" i="84"/>
  <c r="CA71" i="84"/>
  <c r="CG64" i="84"/>
  <c r="CE92" i="84"/>
  <c r="CE46" i="84"/>
  <c r="CC87" i="84"/>
  <c r="CE18" i="84"/>
  <c r="CC85" i="84"/>
  <c r="CC71" i="84"/>
  <c r="CB83" i="84"/>
  <c r="CD53" i="84"/>
  <c r="BY94" i="84"/>
  <c r="CB52" i="84"/>
  <c r="BZ88" i="84"/>
  <c r="BZ94" i="84" s="1"/>
  <c r="BZ71" i="84"/>
  <c r="CH92" i="84" l="1"/>
  <c r="CJ64" i="84"/>
  <c r="CJ92" i="84" s="1"/>
  <c r="CG92" i="84"/>
  <c r="CI64" i="84"/>
  <c r="CI92" i="84" s="1"/>
  <c r="CF28" i="84"/>
  <c r="CD84" i="84"/>
  <c r="CA94" i="84"/>
  <c r="CC83" i="84"/>
  <c r="CE53" i="84"/>
  <c r="CG18" i="84"/>
  <c r="CI18" i="84" s="1"/>
  <c r="CE85" i="84"/>
  <c r="CD52" i="84"/>
  <c r="CB88" i="84"/>
  <c r="CB94" i="84" s="1"/>
  <c r="CB71" i="84"/>
  <c r="CG28" i="84"/>
  <c r="CE84" i="84"/>
  <c r="CF53" i="84"/>
  <c r="CD83" i="84"/>
  <c r="CG46" i="84"/>
  <c r="CE87" i="84"/>
  <c r="CE52" i="84"/>
  <c r="CC88" i="84"/>
  <c r="CI85" i="84" l="1"/>
  <c r="CG84" i="84"/>
  <c r="CI28" i="84"/>
  <c r="CI84" i="84" s="1"/>
  <c r="CG87" i="84"/>
  <c r="CI46" i="84"/>
  <c r="CI87" i="84" s="1"/>
  <c r="CF83" i="84"/>
  <c r="CH53" i="84"/>
  <c r="CF84" i="84"/>
  <c r="CH28" i="84"/>
  <c r="CJ28" i="84" s="1"/>
  <c r="CJ84" i="84" s="1"/>
  <c r="CG52" i="84"/>
  <c r="CE88" i="84"/>
  <c r="CD88" i="84"/>
  <c r="CD94" i="84" s="1"/>
  <c r="CF52" i="84"/>
  <c r="CH52" i="84" s="1"/>
  <c r="CD71" i="84"/>
  <c r="CE71" i="84"/>
  <c r="CG85" i="84"/>
  <c r="CG53" i="84"/>
  <c r="CE83" i="84"/>
  <c r="CC94" i="84"/>
  <c r="CH83" i="84" l="1"/>
  <c r="CJ53" i="84"/>
  <c r="CJ83" i="84" s="1"/>
  <c r="CH88" i="84"/>
  <c r="CJ52" i="84"/>
  <c r="CE94" i="84"/>
  <c r="CG88" i="84"/>
  <c r="CI52" i="84"/>
  <c r="CI88" i="84" s="1"/>
  <c r="CG83" i="84"/>
  <c r="CG94" i="84" s="1"/>
  <c r="CI53" i="84"/>
  <c r="CI83" i="84" s="1"/>
  <c r="CI71" i="84"/>
  <c r="CH84" i="84"/>
  <c r="CH71" i="84"/>
  <c r="CG71" i="84"/>
  <c r="CF88" i="84"/>
  <c r="CF94" i="84" s="1"/>
  <c r="CF71" i="84"/>
  <c r="CH94" i="84" l="1"/>
  <c r="CI94" i="84"/>
  <c r="CJ88" i="84"/>
  <c r="CJ94" i="84" s="1"/>
  <c r="CJ71" i="8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Johnson, Kevin</author>
  </authors>
  <commentList>
    <comment ref="F12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Johnson, Kevin:</t>
        </r>
        <r>
          <rPr>
            <sz val="9"/>
            <color indexed="81"/>
            <rFont val="Tahoma"/>
            <family val="2"/>
          </rPr>
          <t xml:space="preserve">
Was not on the original list.</t>
        </r>
      </text>
    </comment>
  </commentList>
</comments>
</file>

<file path=xl/sharedStrings.xml><?xml version="1.0" encoding="utf-8"?>
<sst xmlns="http://schemas.openxmlformats.org/spreadsheetml/2006/main" count="3393" uniqueCount="745">
  <si>
    <t>To:</t>
  </si>
  <si>
    <t>Terms: Due Upon Presentation</t>
  </si>
  <si>
    <t>Make checks payable to "ARAMARK Services, Inc."</t>
  </si>
  <si>
    <t>ARAMARK Correctional Services, Inc</t>
  </si>
  <si>
    <t>IMPORTANT</t>
  </si>
  <si>
    <t>INCLUDE INVOICE NUMBER and REMITTANCE COPY</t>
  </si>
  <si>
    <t>Amount Due:</t>
  </si>
  <si>
    <t>Other Signature: ___________________________________________</t>
  </si>
  <si>
    <t>Component #</t>
  </si>
  <si>
    <t>Allen Oakwood Correctional Facility</t>
  </si>
  <si>
    <t>Invoice Details by Location:</t>
  </si>
  <si>
    <t>Sale Date</t>
  </si>
  <si>
    <t>Period</t>
  </si>
  <si>
    <t>Total Meals</t>
  </si>
  <si>
    <t>Start Date</t>
  </si>
  <si>
    <t>End Date</t>
  </si>
  <si>
    <t>Total</t>
  </si>
  <si>
    <t>Belmont Correctional Institution</t>
  </si>
  <si>
    <t>Chillicothe Correctional Institution</t>
  </si>
  <si>
    <t>Correctional Reception Center</t>
  </si>
  <si>
    <t>Dayton Correctional Institution</t>
  </si>
  <si>
    <t>Franklin Medical Center</t>
  </si>
  <si>
    <t>Grafton Correctional Institution</t>
  </si>
  <si>
    <t>Lebanon Correctional Institution</t>
  </si>
  <si>
    <t>London Correctional Institution</t>
  </si>
  <si>
    <t>Lorain Correctional Institution</t>
  </si>
  <si>
    <t>Madison Correctional Institution</t>
  </si>
  <si>
    <t>Mansfield Correctional Institution</t>
  </si>
  <si>
    <t>Marion Correctional Institution</t>
  </si>
  <si>
    <t>Noble Correctional Institution</t>
  </si>
  <si>
    <t>Ohio Reformatory for Woman</t>
  </si>
  <si>
    <t>Ohio State Penitentiary</t>
  </si>
  <si>
    <t>Pickaway Correctional Institution</t>
  </si>
  <si>
    <t>Richland Correctional Institution</t>
  </si>
  <si>
    <t>Ross Correctional Institution</t>
  </si>
  <si>
    <t>Southern Ohio Correctional Facility</t>
  </si>
  <si>
    <t>Toledo Correctional Institution</t>
  </si>
  <si>
    <t>Trumbull Correctional Institution</t>
  </si>
  <si>
    <t>Warren Correctional Institution</t>
  </si>
  <si>
    <t>Location</t>
  </si>
  <si>
    <t>Census Totals</t>
  </si>
  <si>
    <t xml:space="preserve">TOTAL </t>
  </si>
  <si>
    <t>Kosher Order Summary by Date</t>
  </si>
  <si>
    <t>Price</t>
  </si>
  <si>
    <t>Totals</t>
  </si>
  <si>
    <t>TOTAL</t>
  </si>
  <si>
    <t>INVOICE</t>
  </si>
  <si>
    <t>WEEK 1 CENSUS REVIEW</t>
  </si>
  <si>
    <t>WEEK 2 CENSUS REVIEW</t>
  </si>
  <si>
    <t>WEEK 3 CENSUS REVIEW</t>
  </si>
  <si>
    <t>WEEK 4 CENSUS REVIEW</t>
  </si>
  <si>
    <t>WEEK 5 CENSUS REVIEW</t>
  </si>
  <si>
    <t>WEEK 6 CENSUS REVIEW</t>
  </si>
  <si>
    <t>000007623</t>
  </si>
  <si>
    <t>000007624</t>
  </si>
  <si>
    <t>000007625</t>
  </si>
  <si>
    <t>000007627</t>
  </si>
  <si>
    <t>000007628</t>
  </si>
  <si>
    <t>000007629</t>
  </si>
  <si>
    <t>000007630</t>
  </si>
  <si>
    <t>000007632</t>
  </si>
  <si>
    <t>000007633</t>
  </si>
  <si>
    <t>000007634</t>
  </si>
  <si>
    <t>000007635</t>
  </si>
  <si>
    <t>000007636</t>
  </si>
  <si>
    <t>000007637</t>
  </si>
  <si>
    <t>000007638</t>
  </si>
  <si>
    <t>000007639</t>
  </si>
  <si>
    <t>000007642</t>
  </si>
  <si>
    <t>000007643</t>
  </si>
  <si>
    <t>000007644</t>
  </si>
  <si>
    <t>000007645</t>
  </si>
  <si>
    <t>000007646</t>
  </si>
  <si>
    <t>000007647</t>
  </si>
  <si>
    <t>000007648</t>
  </si>
  <si>
    <t>000007649</t>
  </si>
  <si>
    <t>000007650</t>
  </si>
  <si>
    <t>000007651</t>
  </si>
  <si>
    <t>Institution Name</t>
  </si>
  <si>
    <t>Institution Number</t>
  </si>
  <si>
    <t>Number of Reporting Days</t>
  </si>
  <si>
    <t>Total meals served</t>
  </si>
  <si>
    <t>Food, Paper &amp; Cleaning supplies usage cost</t>
  </si>
  <si>
    <t>Average Cost per Meal</t>
  </si>
  <si>
    <t>Information for the Food Manager's Usage &amp; Inventory Report</t>
  </si>
  <si>
    <t>Southeast Correctional Complex</t>
  </si>
  <si>
    <t>Northeast Reintegration Center</t>
  </si>
  <si>
    <t>ERF entry</t>
  </si>
  <si>
    <t>Sales for Week 1</t>
  </si>
  <si>
    <t>DOTS sales</t>
  </si>
  <si>
    <t>Hocking Correctional Facility</t>
  </si>
  <si>
    <t>000007631</t>
  </si>
  <si>
    <t>0694</t>
  </si>
  <si>
    <t>0958</t>
  </si>
  <si>
    <t>0978</t>
  </si>
  <si>
    <t>0990</t>
  </si>
  <si>
    <t>1101</t>
  </si>
  <si>
    <t>1104</t>
  </si>
  <si>
    <t>1111</t>
  </si>
  <si>
    <t>1116</t>
  </si>
  <si>
    <t>1117</t>
  </si>
  <si>
    <t>1119</t>
  </si>
  <si>
    <t>1125</t>
  </si>
  <si>
    <t>1129</t>
  </si>
  <si>
    <t>1131</t>
  </si>
  <si>
    <t>1132</t>
  </si>
  <si>
    <t>1133</t>
  </si>
  <si>
    <t>1138</t>
  </si>
  <si>
    <t>1147</t>
  </si>
  <si>
    <t>1148</t>
  </si>
  <si>
    <t>1149</t>
  </si>
  <si>
    <t>1199</t>
  </si>
  <si>
    <t>1201</t>
  </si>
  <si>
    <t>1203</t>
  </si>
  <si>
    <t>1204</t>
  </si>
  <si>
    <t>1206</t>
  </si>
  <si>
    <t>1207</t>
  </si>
  <si>
    <t>1208</t>
  </si>
  <si>
    <t>COMP #</t>
  </si>
  <si>
    <t>Population</t>
  </si>
  <si>
    <t>Sales for Week 2</t>
  </si>
  <si>
    <t>Sales for Week 3</t>
  </si>
  <si>
    <t>Sales for Week 4</t>
  </si>
  <si>
    <t>Sales for Week 5</t>
  </si>
  <si>
    <t>Sales for Week 6</t>
  </si>
  <si>
    <t>DOTS</t>
  </si>
  <si>
    <t>Northeast</t>
  </si>
  <si>
    <t>POP Avg / Census total</t>
  </si>
  <si>
    <t>#009.81</t>
  </si>
  <si>
    <t>#849.19</t>
  </si>
  <si>
    <t xml:space="preserve">GANO </t>
  </si>
  <si>
    <t>Inmate sales</t>
  </si>
  <si>
    <t>TROTCH</t>
  </si>
  <si>
    <t>STANLEY</t>
  </si>
  <si>
    <t>ERF entry for Period 9</t>
  </si>
  <si>
    <t>TENNESSEE DEPARTMENT OF CORRECTIONS FISCAL SERVICES</t>
  </si>
  <si>
    <t>CONTRACT #</t>
  </si>
  <si>
    <t>000010563</t>
  </si>
  <si>
    <t>Bledsoe County Correctional Complex</t>
  </si>
  <si>
    <t>Mark Luttrell Correctional Center</t>
  </si>
  <si>
    <t>000010564</t>
  </si>
  <si>
    <t>Northeast Carter County Annex</t>
  </si>
  <si>
    <t>000010565</t>
  </si>
  <si>
    <t>Northwest Correctional Complex</t>
  </si>
  <si>
    <t>000010566</t>
  </si>
  <si>
    <t>Tennessee Corrections Academy</t>
  </si>
  <si>
    <t>000010567</t>
  </si>
  <si>
    <t>Turney Center Industrial Complex Annex</t>
  </si>
  <si>
    <t>000010569</t>
  </si>
  <si>
    <t>West Tennessee State Penitentiary</t>
  </si>
  <si>
    <t>000010570</t>
  </si>
  <si>
    <t>DeBerry Special Needs Facility</t>
  </si>
  <si>
    <t>000010571</t>
  </si>
  <si>
    <t>Morgan County Correctional Complex</t>
  </si>
  <si>
    <t>000010572</t>
  </si>
  <si>
    <t>000010573</t>
  </si>
  <si>
    <t>Riverbend Maximum Security Institution</t>
  </si>
  <si>
    <t>000010574</t>
  </si>
  <si>
    <t>Tennessee Prison for Women</t>
  </si>
  <si>
    <t>000010575</t>
  </si>
  <si>
    <t>Turney Center Industrial Complex</t>
  </si>
  <si>
    <t>000010576</t>
  </si>
  <si>
    <t>Attention: ACCOUNTS PAYABLE</t>
  </si>
  <si>
    <t>Aramark Correctional Services</t>
  </si>
  <si>
    <t>Bledsoe</t>
  </si>
  <si>
    <t>Luttrell</t>
  </si>
  <si>
    <t>Northeast Carter Co Annex</t>
  </si>
  <si>
    <t>Northwest</t>
  </si>
  <si>
    <t>TN Corrections Academy</t>
  </si>
  <si>
    <t>Turney Annex</t>
  </si>
  <si>
    <t>West TN State</t>
  </si>
  <si>
    <t>DeBerry</t>
  </si>
  <si>
    <t>Morgan</t>
  </si>
  <si>
    <t>Riverbend</t>
  </si>
  <si>
    <t>TN Prison for Women</t>
  </si>
  <si>
    <t>Turney</t>
  </si>
  <si>
    <t xml:space="preserve"> Tennessee DOC Inmate Meal Totals</t>
  </si>
  <si>
    <t>P.O. Box 978839</t>
  </si>
  <si>
    <t>Dallas, TX  75397-8839</t>
  </si>
  <si>
    <t>6th Floor Rachel Jackson Building</t>
  </si>
  <si>
    <t>320 6th Avenue North</t>
  </si>
  <si>
    <t>Nashville, TN 37243</t>
  </si>
  <si>
    <t>CUSTOMER NUMBER</t>
  </si>
  <si>
    <t>TENNESSSEE EDISON REGISTRATION ID#</t>
  </si>
  <si>
    <t>Liquidated Damages</t>
  </si>
  <si>
    <t>Staffing Credits</t>
  </si>
  <si>
    <t>Credits:</t>
  </si>
  <si>
    <t xml:space="preserve">        Total Credits</t>
  </si>
  <si>
    <t>Regular Meals @ $1.44</t>
  </si>
  <si>
    <t>Special Meals @ $1.44</t>
  </si>
  <si>
    <t>Staff/Visitor Meals @ $1.44</t>
  </si>
  <si>
    <t>Enhanced Sack Meals @ $1.641</t>
  </si>
  <si>
    <t>Total Non-Food Inventory Usage Credits</t>
  </si>
  <si>
    <t>Food Inventory Usage Credits</t>
  </si>
  <si>
    <t>Non-Food Inventory Usage Credits</t>
  </si>
  <si>
    <t>NonFood Inventory Usage Credits</t>
  </si>
  <si>
    <t>Total Facility Requested Meals</t>
  </si>
  <si>
    <t>Facility Requested Meals</t>
  </si>
  <si>
    <t>Qty Received</t>
  </si>
  <si>
    <t>Fiscal</t>
  </si>
  <si>
    <t>Week</t>
  </si>
  <si>
    <t>Date</t>
  </si>
  <si>
    <t>Item Description</t>
  </si>
  <si>
    <t>SIZE</t>
  </si>
  <si>
    <t>QTY ORDERED</t>
  </si>
  <si>
    <t>TOTAL CLIENT COST</t>
  </si>
  <si>
    <t>Total Adjustments</t>
  </si>
  <si>
    <t>Item</t>
  </si>
  <si>
    <t>Description</t>
  </si>
  <si>
    <t>UO M</t>
  </si>
  <si>
    <t>Unit Cost</t>
  </si>
  <si>
    <t xml:space="preserve">Total Value </t>
  </si>
  <si>
    <t>Turney Main</t>
  </si>
  <si>
    <t>51238</t>
  </si>
  <si>
    <t>PC Name</t>
  </si>
  <si>
    <t>Employee Name</t>
  </si>
  <si>
    <t>Notes</t>
  </si>
  <si>
    <t>Rate + 40%</t>
  </si>
  <si>
    <t>Less 4.25%</t>
  </si>
  <si>
    <t>Brenda Bean</t>
  </si>
  <si>
    <t>Raafat Chenouda</t>
  </si>
  <si>
    <t>Larry Jones</t>
  </si>
  <si>
    <t>TCA</t>
  </si>
  <si>
    <t>TPFW</t>
  </si>
  <si>
    <t>West</t>
  </si>
  <si>
    <t>Scott Guy</t>
  </si>
  <si>
    <t>Brenda Fergerson</t>
  </si>
  <si>
    <t>Juanita Williams</t>
  </si>
  <si>
    <t>Susan Redden</t>
  </si>
  <si>
    <t>Veronica Cadney</t>
  </si>
  <si>
    <t>Charles Templton</t>
  </si>
  <si>
    <t>Barbara Drake</t>
  </si>
  <si>
    <t>Adj. for 4.25% increase to State EEs</t>
  </si>
  <si>
    <t>Total Adj. for 4.25% increase to State EEs</t>
  </si>
  <si>
    <t>CA</t>
  </si>
  <si>
    <t>EA</t>
  </si>
  <si>
    <t>Total:</t>
  </si>
  <si>
    <t>TRANSMIT ELECTRONIC FUNDS TO:</t>
  </si>
  <si>
    <t>Position #</t>
  </si>
  <si>
    <t>Event</t>
  </si>
  <si>
    <t>Total Credit</t>
  </si>
  <si>
    <t xml:space="preserve">Facility Total: </t>
  </si>
  <si>
    <t>MAIL ALL REMITTANCES TO:</t>
  </si>
  <si>
    <t>State to ARA EE Charge</t>
  </si>
  <si>
    <t>Total State to ARA EE Charges</t>
  </si>
  <si>
    <t>State EE OT Credits</t>
  </si>
  <si>
    <t>Total State EE OT Credits</t>
  </si>
  <si>
    <t>Days Per Month</t>
  </si>
  <si>
    <t>UNIT NAME</t>
  </si>
  <si>
    <t>COUNTY</t>
  </si>
  <si>
    <t>PC#</t>
  </si>
  <si>
    <t>State EE #</t>
  </si>
  <si>
    <t>LAST NAME</t>
  </si>
  <si>
    <t>FIRST NAME</t>
  </si>
  <si>
    <t>Original Salary</t>
  </si>
  <si>
    <t>Salary + 20%</t>
  </si>
  <si>
    <t>4.25% Impact</t>
  </si>
  <si>
    <t>22% for Tax &amp; Benefits</t>
  </si>
  <si>
    <t>Total Monthly Impact</t>
  </si>
  <si>
    <t>Oct Impact</t>
  </si>
  <si>
    <t>Nov Impact</t>
  </si>
  <si>
    <t>Dec Impact</t>
  </si>
  <si>
    <t>Jan Impact</t>
  </si>
  <si>
    <t>Feb Impact</t>
  </si>
  <si>
    <t>Mar Impact</t>
  </si>
  <si>
    <t>Apr Impact</t>
  </si>
  <si>
    <t>May Impact</t>
  </si>
  <si>
    <t>Jun Impact</t>
  </si>
  <si>
    <t>Last Day</t>
  </si>
  <si>
    <t>Days in Last Month</t>
  </si>
  <si>
    <t>BCCX Dietary</t>
  </si>
  <si>
    <t>Bledsoe County</t>
  </si>
  <si>
    <t>Brown</t>
  </si>
  <si>
    <t>Meredith</t>
  </si>
  <si>
    <t>Cooper</t>
  </si>
  <si>
    <t>Vera</t>
  </si>
  <si>
    <t>Del Rossi</t>
  </si>
  <si>
    <t>Daniel</t>
  </si>
  <si>
    <t>Greer</t>
  </si>
  <si>
    <t>Thomas</t>
  </si>
  <si>
    <t>Mason</t>
  </si>
  <si>
    <t>Amber</t>
  </si>
  <si>
    <t>Miniard</t>
  </si>
  <si>
    <t>Jamie</t>
  </si>
  <si>
    <t>Patton</t>
  </si>
  <si>
    <t>Jessie</t>
  </si>
  <si>
    <t>Payne</t>
  </si>
  <si>
    <t>Chelsea</t>
  </si>
  <si>
    <t>Stepp</t>
  </si>
  <si>
    <t>Shirley</t>
  </si>
  <si>
    <t>Wilson</t>
  </si>
  <si>
    <t>Heather</t>
  </si>
  <si>
    <t>DSNF Dietary</t>
  </si>
  <si>
    <t>Davidson County</t>
  </si>
  <si>
    <t>Rezk</t>
  </si>
  <si>
    <t>Gihan</t>
  </si>
  <si>
    <t>MCCX Dietary</t>
  </si>
  <si>
    <t>Morgan County</t>
  </si>
  <si>
    <t>Gibson</t>
  </si>
  <si>
    <t>Donald</t>
  </si>
  <si>
    <t>Harvey</t>
  </si>
  <si>
    <t>Larry</t>
  </si>
  <si>
    <t>Hunter</t>
  </si>
  <si>
    <t>Kathryn</t>
  </si>
  <si>
    <t>Keene</t>
  </si>
  <si>
    <t>Kenneth</t>
  </si>
  <si>
    <t>Kidder</t>
  </si>
  <si>
    <t>Dasha</t>
  </si>
  <si>
    <t>Moles</t>
  </si>
  <si>
    <t>Tyler</t>
  </si>
  <si>
    <t>Morris</t>
  </si>
  <si>
    <t>Pempeit</t>
  </si>
  <si>
    <t>Jeffrey</t>
  </si>
  <si>
    <t>Reyna</t>
  </si>
  <si>
    <t>Angelita</t>
  </si>
  <si>
    <t>Shaw</t>
  </si>
  <si>
    <t>Susan</t>
  </si>
  <si>
    <t>Snyder</t>
  </si>
  <si>
    <t>Richard</t>
  </si>
  <si>
    <t>Whitaker</t>
  </si>
  <si>
    <t>Rodney</t>
  </si>
  <si>
    <t>MLCC Dietary</t>
  </si>
  <si>
    <t>Shelby County</t>
  </si>
  <si>
    <t>Dowell</t>
  </si>
  <si>
    <t>Imogene</t>
  </si>
  <si>
    <t>NECX Dietary</t>
  </si>
  <si>
    <t>Carter County</t>
  </si>
  <si>
    <t>Casseur</t>
  </si>
  <si>
    <t>Karl</t>
  </si>
  <si>
    <t>Johnson County</t>
  </si>
  <si>
    <t>Davenport</t>
  </si>
  <si>
    <t>Barbra</t>
  </si>
  <si>
    <t>Melissa</t>
  </si>
  <si>
    <t>Denney</t>
  </si>
  <si>
    <t>Barbara</t>
  </si>
  <si>
    <t>Kimble</t>
  </si>
  <si>
    <t>Bobby</t>
  </si>
  <si>
    <t>Knoefler</t>
  </si>
  <si>
    <t>Doc-Martan</t>
  </si>
  <si>
    <t>Mansfield</t>
  </si>
  <si>
    <t>Travis</t>
  </si>
  <si>
    <t>Rachall</t>
  </si>
  <si>
    <t>Troy</t>
  </si>
  <si>
    <t>Trey</t>
  </si>
  <si>
    <t>Smith</t>
  </si>
  <si>
    <t>Jonathan</t>
  </si>
  <si>
    <t>Williams</t>
  </si>
  <si>
    <t>Jackie</t>
  </si>
  <si>
    <t>NWCX Dietary</t>
  </si>
  <si>
    <t>Lake County</t>
  </si>
  <si>
    <t>Brooks</t>
  </si>
  <si>
    <t>Teketa</t>
  </si>
  <si>
    <t>Delacruz</t>
  </si>
  <si>
    <t>Demetria</t>
  </si>
  <si>
    <t>Fields</t>
  </si>
  <si>
    <t>Mary</t>
  </si>
  <si>
    <t>Hamilton</t>
  </si>
  <si>
    <t>Wanda</t>
  </si>
  <si>
    <t>Holder</t>
  </si>
  <si>
    <t>Julius</t>
  </si>
  <si>
    <t>Moran</t>
  </si>
  <si>
    <t>Linda</t>
  </si>
  <si>
    <t>Ramsey</t>
  </si>
  <si>
    <t>Willie</t>
  </si>
  <si>
    <t>Robinson</t>
  </si>
  <si>
    <t>Staples</t>
  </si>
  <si>
    <t>Sonyia</t>
  </si>
  <si>
    <t>Stinnett</t>
  </si>
  <si>
    <t>Paul</t>
  </si>
  <si>
    <t>Strayhorn</t>
  </si>
  <si>
    <t>Ruth</t>
  </si>
  <si>
    <t>Wright</t>
  </si>
  <si>
    <t>Pamela</t>
  </si>
  <si>
    <t>RMSI Dietary</t>
  </si>
  <si>
    <t>Abele</t>
  </si>
  <si>
    <t>Hans</t>
  </si>
  <si>
    <t>Rhonda</t>
  </si>
  <si>
    <t>Ensley</t>
  </si>
  <si>
    <t>John</t>
  </si>
  <si>
    <t>Freeman</t>
  </si>
  <si>
    <t>McClellan</t>
  </si>
  <si>
    <t>Kimberly</t>
  </si>
  <si>
    <t>Oshomoji</t>
  </si>
  <si>
    <t>Ope</t>
  </si>
  <si>
    <t>Walton</t>
  </si>
  <si>
    <t>Tasha</t>
  </si>
  <si>
    <t>TCIX Dietary</t>
  </si>
  <si>
    <t>Hickman County</t>
  </si>
  <si>
    <t>Atkinson</t>
  </si>
  <si>
    <t>Ralph</t>
  </si>
  <si>
    <t>Wayne County</t>
  </si>
  <si>
    <t>Boyd</t>
  </si>
  <si>
    <t>Carroll</t>
  </si>
  <si>
    <t>Joe</t>
  </si>
  <si>
    <t>Haithcoat</t>
  </si>
  <si>
    <t>Donna</t>
  </si>
  <si>
    <t>Prater</t>
  </si>
  <si>
    <t>Bridget</t>
  </si>
  <si>
    <t>Prince</t>
  </si>
  <si>
    <t>Sheila</t>
  </si>
  <si>
    <t>Skelton</t>
  </si>
  <si>
    <t>Ronnie</t>
  </si>
  <si>
    <t>Paula</t>
  </si>
  <si>
    <t>Templeton</t>
  </si>
  <si>
    <t>Charles</t>
  </si>
  <si>
    <t>WTSP Dietary</t>
  </si>
  <si>
    <t>Lauderdale County</t>
  </si>
  <si>
    <t>Alexander</t>
  </si>
  <si>
    <t>Carol</t>
  </si>
  <si>
    <t>Judith</t>
  </si>
  <si>
    <t>Mckinney</t>
  </si>
  <si>
    <t>Lurattice</t>
  </si>
  <si>
    <t>Amt. w/o Tax</t>
  </si>
  <si>
    <t>Tax Impact</t>
  </si>
  <si>
    <t>PC SUMMARY</t>
  </si>
  <si>
    <t xml:space="preserve">PC# </t>
  </si>
  <si>
    <t>PC NAME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</si>
  <si>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</si>
  <si>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</si>
  <si>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</si>
  <si>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</si>
  <si>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</si>
  <si>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</si>
  <si>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</si>
  <si>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</si>
  <si>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</si>
  <si>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TCA Dietary</t>
  </si>
  <si>
    <t>TPFW Dietary</t>
  </si>
  <si>
    <t>TCIX Annex</t>
  </si>
  <si>
    <t>Lee</t>
  </si>
  <si>
    <t>Jul Impact</t>
  </si>
  <si>
    <t>4/19/2017, returned 6/19/2017, left 7/3</t>
  </si>
  <si>
    <t>JULY</t>
  </si>
  <si>
    <t>AUGUST</t>
  </si>
  <si>
    <t>Aug Impact</t>
  </si>
  <si>
    <t>Sept Impact</t>
  </si>
  <si>
    <t>SEPTEMBER</t>
  </si>
  <si>
    <t>*switched to DB in August</t>
  </si>
  <si>
    <t>OCTOBER</t>
  </si>
  <si>
    <t>ICP POLISHING PADS</t>
  </si>
  <si>
    <t>ICP,BROOM,NO-METAL,12/CS</t>
  </si>
  <si>
    <t>FLATWARE KITS</t>
  </si>
  <si>
    <t>WRAP, PLASTIC FILM</t>
  </si>
  <si>
    <t>TRAYS</t>
  </si>
  <si>
    <t>NOVEMBER</t>
  </si>
  <si>
    <t>Item #</t>
  </si>
  <si>
    <t>DECEMBER</t>
  </si>
  <si>
    <t xml:space="preserve">Unit 7 Lemonade Lunch - </t>
  </si>
  <si>
    <t xml:space="preserve">Unit 7 Lemonade Dinner - </t>
  </si>
  <si>
    <t xml:space="preserve">Unit 7 Lemonade Dinner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</si>
  <si>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Unit 7 Lemonade Dinner -</t>
  </si>
  <si>
    <t>Unit 7 Lemonade Lunch -</t>
  </si>
  <si>
    <t>Turney Center Main</t>
  </si>
  <si>
    <t>MOP, WET, COTTON CORD, NATURAL</t>
  </si>
  <si>
    <t xml:space="preserve">Lemonade </t>
  </si>
  <si>
    <t>JANUARY</t>
  </si>
  <si>
    <t>FEBRUARY</t>
  </si>
  <si>
    <t>Items Supplied to Aramark</t>
  </si>
  <si>
    <t>Food</t>
  </si>
  <si>
    <t xml:space="preserve">Item </t>
  </si>
  <si>
    <t xml:space="preserve">Description </t>
  </si>
  <si>
    <t>Quantity</t>
  </si>
  <si>
    <t>UOM</t>
  </si>
  <si>
    <t>Cost</t>
  </si>
  <si>
    <t>Total Value</t>
  </si>
  <si>
    <t>Cleaning and Kitchen Supplies</t>
  </si>
  <si>
    <t xml:space="preserve">Total Supplies  </t>
  </si>
  <si>
    <t>1/29/2018, returned 3/28/2018</t>
  </si>
  <si>
    <t>**FMLA 1/29 - 3/28, didn’t know until P6, do adjustment credit on P6 invoice</t>
  </si>
  <si>
    <t>MARCH</t>
  </si>
  <si>
    <t>BX</t>
  </si>
  <si>
    <t>TRAYS-6 COMP</t>
  </si>
  <si>
    <t>FLOOR PADS, POLISHING</t>
  </si>
  <si>
    <t>FLOOR FINISH, 5 GALLON</t>
  </si>
  <si>
    <t>YELLOW FIBERGLASS HANDLE</t>
  </si>
  <si>
    <t>FLOOR PADS, STRIPPING</t>
  </si>
  <si>
    <t>TONER REMANUFACTURED ROXBURY</t>
  </si>
  <si>
    <t>APRIL</t>
  </si>
  <si>
    <t xml:space="preserve">Mark Luttrell </t>
  </si>
  <si>
    <t>Date of Event</t>
  </si>
  <si>
    <t>TYPE ITEM # DIRECTLY FROM INVOICE</t>
  </si>
  <si>
    <t>Mark Luttrell</t>
  </si>
  <si>
    <t>BROOM HEAD, STREET (TAPERED HANDLE)</t>
  </si>
  <si>
    <t>BROOM HANDLE - TRHEADED (SOFT BROOM)</t>
  </si>
  <si>
    <t>BROOM HEAD, HARD, PUSH (THREADED HANDLE)</t>
  </si>
  <si>
    <t>DUST PAN</t>
  </si>
  <si>
    <t>MOP BUCKET</t>
  </si>
  <si>
    <t>2017 Monthly Rate</t>
  </si>
  <si>
    <t>2017 Monthly Rate + 40%</t>
  </si>
  <si>
    <t>2017 Credit On Monthly + 40%</t>
  </si>
  <si>
    <t>4.25% Rate Impact-Calc off Original Salary</t>
  </si>
  <si>
    <t>Northeast Correctional Complex Carter</t>
  </si>
  <si>
    <t>one time estimate</t>
  </si>
  <si>
    <t>weekly estimates</t>
  </si>
  <si>
    <t>P1W1</t>
  </si>
  <si>
    <t>fiscal period time</t>
  </si>
  <si>
    <t>number of days in the fiscal week for the month</t>
  </si>
  <si>
    <t>July Impact</t>
  </si>
  <si>
    <t>August Impact</t>
  </si>
  <si>
    <t>September Impact</t>
  </si>
  <si>
    <t>**accidentally didn’t charge for April but there were numerous revisions to the April invoice and I am making the decision to not adjust the invoice again for this mistake</t>
  </si>
  <si>
    <t>August</t>
  </si>
  <si>
    <t>September</t>
  </si>
  <si>
    <t>Northeast Complex</t>
  </si>
  <si>
    <t xml:space="preserve">Northwest Correctional Complex   </t>
  </si>
  <si>
    <t>Dust Mop Handle</t>
  </si>
  <si>
    <t>Broom Handle Tapered</t>
  </si>
  <si>
    <t>Broom Handle Threaded</t>
  </si>
  <si>
    <t>BROOM, Household</t>
  </si>
  <si>
    <t>2RWY4</t>
  </si>
  <si>
    <t>Northeast Correctional Complex</t>
  </si>
  <si>
    <t>NECX, Carter Co Annex</t>
  </si>
  <si>
    <t>P1W2</t>
  </si>
  <si>
    <t>P1W3</t>
  </si>
  <si>
    <t>P1W4</t>
  </si>
  <si>
    <t>P1 Time</t>
  </si>
  <si>
    <t>P2W1</t>
  </si>
  <si>
    <t>Post P1W4</t>
  </si>
  <si>
    <t>Post P2W1</t>
  </si>
  <si>
    <t>7days</t>
  </si>
  <si>
    <t>October</t>
  </si>
  <si>
    <t>October Impact</t>
  </si>
  <si>
    <t>Non-Food</t>
  </si>
  <si>
    <t xml:space="preserve">CAN, TRASH, NONMETAL, 32 GAL. </t>
  </si>
  <si>
    <t>EACH</t>
  </si>
  <si>
    <t>Lemonade</t>
  </si>
  <si>
    <t>Monthly Rate</t>
  </si>
  <si>
    <t>Monthly Rate + 40%</t>
  </si>
  <si>
    <t>Credit On Monthly + 40%</t>
  </si>
  <si>
    <t>4.25% Rate Impact</t>
  </si>
  <si>
    <t>OT Impact</t>
  </si>
  <si>
    <t>Returned 11/10/18</t>
  </si>
  <si>
    <t>Morgan County Correctional Facility</t>
  </si>
  <si>
    <t>November Impact</t>
  </si>
  <si>
    <t>December Impact</t>
  </si>
  <si>
    <t>November</t>
  </si>
  <si>
    <t>December</t>
  </si>
  <si>
    <t>Grand Total Check</t>
  </si>
  <si>
    <t>28" STRAIGHT RUBBER FLOOR SQUEEGEE WITH HANDLE</t>
  </si>
  <si>
    <t>FLOOR SEALER, 5 GALLON</t>
  </si>
  <si>
    <t>January Impact</t>
  </si>
  <si>
    <t>January</t>
  </si>
  <si>
    <t>PR</t>
  </si>
  <si>
    <t>February Impact</t>
  </si>
  <si>
    <t>February</t>
  </si>
  <si>
    <t>March Impact</t>
  </si>
  <si>
    <t>March</t>
  </si>
  <si>
    <t>Floor, Highly Scrubabblee</t>
  </si>
  <si>
    <t>April Impact</t>
  </si>
  <si>
    <t>April</t>
  </si>
  <si>
    <t>May</t>
  </si>
  <si>
    <t>June Impact</t>
  </si>
  <si>
    <t>June</t>
  </si>
  <si>
    <t>July</t>
  </si>
  <si>
    <t>Mop HANDLE</t>
  </si>
  <si>
    <t>Quick Change Mop Heads</t>
  </si>
  <si>
    <t xml:space="preserve"> </t>
  </si>
  <si>
    <t>West TN State Penitentiary</t>
  </si>
  <si>
    <t>21 building</t>
  </si>
  <si>
    <t>LEXMARK RETURN PROG TONER CARTRIDGE</t>
  </si>
  <si>
    <t>NWCX</t>
  </si>
  <si>
    <t>MCCX</t>
  </si>
  <si>
    <t>WTSP</t>
  </si>
  <si>
    <t>MONTHLY DESK PAD, 12 MONTHS</t>
  </si>
  <si>
    <t>SQUEEGEE HANDLE</t>
  </si>
  <si>
    <t>SQUEEGEE REPLACEMENT HEAD</t>
  </si>
  <si>
    <t>SCRUB BRUSH HEAD</t>
  </si>
  <si>
    <t>HOUSEHOLD BROOM</t>
  </si>
  <si>
    <t>TCIX</t>
  </si>
  <si>
    <t>Paper Supplies</t>
  </si>
  <si>
    <t>FIVE COMPARTMENT TRAYS</t>
  </si>
  <si>
    <t>SQUEEGEE (FULL SET)</t>
  </si>
  <si>
    <t>TAPERED HANDLE</t>
  </si>
  <si>
    <t>Misc Usage</t>
  </si>
  <si>
    <t>Milk Charges</t>
  </si>
  <si>
    <t>Please direct billing questions to: Keitha King                            Email: king-keitha@aramark.com                                                 Phone: 615-761-0123</t>
  </si>
  <si>
    <t>GLOVES, LATEX</t>
  </si>
  <si>
    <t>WATER, DISTILLED, GLACIER</t>
  </si>
  <si>
    <t>GA</t>
  </si>
  <si>
    <t>NON STERILE POWDER FREE NITRIL</t>
  </si>
  <si>
    <t>Inmate Snack (runouts)</t>
  </si>
  <si>
    <t>Garden Usage</t>
  </si>
  <si>
    <t>BCCX</t>
  </si>
  <si>
    <t>FOAM TRAYS 3 SECTION</t>
  </si>
  <si>
    <t>21/H.S.A./ 23C</t>
  </si>
  <si>
    <t>SLICER</t>
  </si>
  <si>
    <t>Religious Meals @ $1.672</t>
  </si>
  <si>
    <t>Therapeutic Meals @ $1.672</t>
  </si>
  <si>
    <t>Regular Sack Meals @ $1.672</t>
  </si>
  <si>
    <t>Staff/Visitor Meals @ $1.672</t>
  </si>
  <si>
    <t xml:space="preserve"> Turney Center Industrial Complex</t>
  </si>
  <si>
    <t>Debra K. Johnson Rehabilitation Center</t>
  </si>
  <si>
    <t>DJRC</t>
  </si>
  <si>
    <t>GLOVES, DISPOSABLE,LATEX</t>
  </si>
  <si>
    <t>Inmate Meals @ $1.672</t>
  </si>
  <si>
    <t>Enhanced Sack Meals @ $1.74</t>
  </si>
  <si>
    <t xml:space="preserve">Garden Usage - </t>
  </si>
  <si>
    <t>Fresh Favorites &amp; Staff the Grill</t>
  </si>
  <si>
    <t>Fresh Favorites and Staff the Grill</t>
  </si>
  <si>
    <t>WTRC</t>
  </si>
  <si>
    <t>Women's Therapeutic Residence Center</t>
  </si>
  <si>
    <t>000019259</t>
  </si>
  <si>
    <t>Site1</t>
  </si>
  <si>
    <t>DISH BRIGHT</t>
  </si>
  <si>
    <t>FLOOR STRIPPER</t>
  </si>
  <si>
    <t>WET FLOOR SIGNS</t>
  </si>
  <si>
    <t>STREET BROOM</t>
  </si>
  <si>
    <t>SINK SANITIZER</t>
  </si>
  <si>
    <t>DRAIN MAINTAINER</t>
  </si>
  <si>
    <t xml:space="preserve"> EA</t>
  </si>
  <si>
    <t>Styrofoam Tray Reimbursement</t>
  </si>
  <si>
    <t xml:space="preserve">Styrofoam </t>
  </si>
  <si>
    <t>KNESS STICKY TRAPS</t>
  </si>
  <si>
    <t>FLY TRAPS</t>
  </si>
  <si>
    <t>HYDROGEN PEROXIDE</t>
  </si>
  <si>
    <t>ALL PURPOSE CLEANER LAVENDER</t>
  </si>
  <si>
    <t>GLASS CLEANER</t>
  </si>
  <si>
    <t>TRICOR FLOOR FINISH</t>
  </si>
  <si>
    <t>TRICOR FLOOR STRIPPER</t>
  </si>
  <si>
    <t>Styrofoam Trays 9x9</t>
  </si>
  <si>
    <t>Styrofoam Tray Reimb.</t>
  </si>
  <si>
    <t>Styrofoam Usage</t>
  </si>
  <si>
    <t>BROOM HEAD</t>
  </si>
  <si>
    <t>BROOM HANDLE</t>
  </si>
  <si>
    <t>Misc Usage (SMU, Units 5 &amp; 6) / Evening Dinner</t>
  </si>
  <si>
    <t>Paper Usage &amp; Lemonade</t>
  </si>
  <si>
    <t>8/21/2021 &amp; 8/24/2021</t>
  </si>
  <si>
    <t xml:space="preserve">Bulk Sales - </t>
  </si>
  <si>
    <t xml:space="preserve">Bulk Sale - </t>
  </si>
  <si>
    <t>TOILET BOWL BRUSH</t>
  </si>
  <si>
    <t>Jodie Necessary</t>
  </si>
  <si>
    <t>Facility Requested</t>
  </si>
  <si>
    <t xml:space="preserve">June </t>
  </si>
  <si>
    <t>GLOVES, YELLOW</t>
  </si>
  <si>
    <t>BROOM,HEAD</t>
  </si>
  <si>
    <t>Bread usage while freezer down</t>
  </si>
  <si>
    <t>PUSH BROOM HEAD</t>
  </si>
  <si>
    <t>FMLA 5/5/22-8/5/22</t>
  </si>
  <si>
    <t>Grease Trap Credits</t>
  </si>
  <si>
    <t>Line not in use</t>
  </si>
  <si>
    <t>1</t>
  </si>
  <si>
    <t>MOP BUCKET WRINGER</t>
  </si>
  <si>
    <t xml:space="preserve">        </t>
  </si>
  <si>
    <t xml:space="preserve">                                                                                                                             </t>
  </si>
  <si>
    <t>FMLA 3/7/22 - 10/22/22</t>
  </si>
  <si>
    <t>7/7/2022 -</t>
  </si>
  <si>
    <t>Foam Cups</t>
  </si>
  <si>
    <t>Plastic Sporks</t>
  </si>
  <si>
    <t>Compartment Tray</t>
  </si>
  <si>
    <t>8 oz Cup</t>
  </si>
  <si>
    <t>8 oz Lid</t>
  </si>
  <si>
    <t>Spork</t>
  </si>
  <si>
    <t>Plastic Wrap</t>
  </si>
  <si>
    <t>SYS 3 compartment trays</t>
  </si>
  <si>
    <t>3 compartment trays</t>
  </si>
  <si>
    <t>Cups</t>
  </si>
  <si>
    <t>Cup lids</t>
  </si>
  <si>
    <t>Sporks</t>
  </si>
  <si>
    <t>Bulk Sale</t>
  </si>
  <si>
    <t xml:space="preserve">3 Compartment Trays </t>
  </si>
  <si>
    <t xml:space="preserve">Cups </t>
  </si>
  <si>
    <t xml:space="preserve">Cup Lids </t>
  </si>
  <si>
    <t xml:space="preserve">Sporks </t>
  </si>
  <si>
    <t xml:space="preserve">Plastic Wrap </t>
  </si>
  <si>
    <t>LINER, WASTE RECEPTACLE 43 X</t>
  </si>
  <si>
    <t>CLEANER, HANDLE,SUPER MOP, JAWS,</t>
  </si>
  <si>
    <t>Client Ordered</t>
  </si>
  <si>
    <t>continued from above</t>
  </si>
  <si>
    <t>CUP,FOAM, 8 OZ. DISPOSABLE</t>
  </si>
  <si>
    <t>TRAY, FOOD, DISPOSABLE,CARRY</t>
  </si>
  <si>
    <t>Garden</t>
  </si>
  <si>
    <t>Grease Trap Credit</t>
  </si>
  <si>
    <t>2023 Monthly Rate</t>
  </si>
  <si>
    <t>2023 Monthly Rate + 40%</t>
  </si>
  <si>
    <t>2023 Credit On Monthly + 40%</t>
  </si>
  <si>
    <t>Food for state staff</t>
  </si>
  <si>
    <t>effective 2/1/23 no longer Aramark</t>
  </si>
  <si>
    <t>cup lids</t>
  </si>
  <si>
    <t>sporks</t>
  </si>
  <si>
    <t>plastic wrap</t>
  </si>
  <si>
    <t>Grease Trap Credit - charge for invalid credits taken</t>
  </si>
  <si>
    <t>gone</t>
  </si>
  <si>
    <t>era</t>
  </si>
  <si>
    <t>5</t>
  </si>
  <si>
    <t>Styrofoam high side</t>
  </si>
  <si>
    <t>lowside trays</t>
  </si>
  <si>
    <t>FMLA 3/23 -</t>
  </si>
  <si>
    <t>Styrofoam Trays 9x9  S1U21 weekly usage; per security request</t>
  </si>
  <si>
    <t>150ct</t>
  </si>
  <si>
    <t xml:space="preserve">Styrofoam Trays Week Inf/Clinic; per security request </t>
  </si>
  <si>
    <t xml:space="preserve">Styrofoam Trays Week Visitation/Intake; per security request </t>
  </si>
  <si>
    <t>Syrtofoam Trays Week 22A; per security request</t>
  </si>
  <si>
    <t>Styrofoam Trays Week 22A; per security request</t>
  </si>
  <si>
    <t>Clear Bags Site 2</t>
  </si>
  <si>
    <t>several</t>
  </si>
  <si>
    <t>Plastic Clear Hinge 9"</t>
  </si>
  <si>
    <t>7/1-7/31</t>
  </si>
  <si>
    <t>Regular Meals @ $1.98</t>
  </si>
  <si>
    <t>Religious Meals @ $1.98</t>
  </si>
  <si>
    <t>Therapeutic Meals @ $1.98</t>
  </si>
  <si>
    <t>Regular Sack Meals @ $1.98</t>
  </si>
  <si>
    <t>Staff/Visitor Meals @ $1.98</t>
  </si>
  <si>
    <t>Enhanced Sack Meals @ $2.06</t>
  </si>
  <si>
    <t>Inmate Meals      @ $1.98</t>
  </si>
  <si>
    <t>Plastic Clear Hinge</t>
  </si>
  <si>
    <t>8 oz lid</t>
  </si>
  <si>
    <t>TOTAL CLIENT</t>
  </si>
  <si>
    <t>Lowside trays</t>
  </si>
  <si>
    <t>Styrofoam trays</t>
  </si>
  <si>
    <t>cups</t>
  </si>
  <si>
    <t xml:space="preserve">Grease Trap Credit - </t>
  </si>
  <si>
    <t>000010577-000101</t>
  </si>
  <si>
    <t>INVOICE DATE: 9/6/23</t>
  </si>
  <si>
    <t>Hours Worked 8/1-8/31</t>
  </si>
  <si>
    <t>Styrofoam trays 24B 8/21/23 BL per security request</t>
  </si>
  <si>
    <t>150 ct</t>
  </si>
  <si>
    <t>Client event 8/4/23</t>
  </si>
  <si>
    <t>Client Event 8/4/23</t>
  </si>
  <si>
    <t>Client Coffee 8/15/23</t>
  </si>
  <si>
    <t>Client Event 8/25/23</t>
  </si>
  <si>
    <t>Client order</t>
  </si>
  <si>
    <t>Mark Watson request</t>
  </si>
  <si>
    <t>TCA Field Staff</t>
  </si>
  <si>
    <t>ICCT Prisons Thur/Fri Clement</t>
  </si>
  <si>
    <t>ICCT</t>
  </si>
  <si>
    <t>BCOT Graduation</t>
  </si>
  <si>
    <t>CPR</t>
  </si>
  <si>
    <t>TCA make Up Training</t>
  </si>
  <si>
    <t>Firearms Workshop</t>
  </si>
  <si>
    <t>PepperBall</t>
  </si>
  <si>
    <t>IDC T4T</t>
  </si>
  <si>
    <t>Respectful Workplace &amp; GREAT</t>
  </si>
  <si>
    <t>Re-Qua Live Fire &amp; Be The One</t>
  </si>
  <si>
    <t>Compartment Trays</t>
  </si>
  <si>
    <t>Granola parfait</t>
  </si>
  <si>
    <t>3 compartment foam container hinge</t>
  </si>
  <si>
    <t>Suma light detergent 8/23/23</t>
  </si>
  <si>
    <t>Suma light detergent 8/30/23</t>
  </si>
  <si>
    <t>8/2/23 - Staff meals/pizzas 7/28/23</t>
  </si>
  <si>
    <t>8/2/23TCIX Staff Meal</t>
  </si>
  <si>
    <t>8/9/23 Staff Meal per AWT Cotham</t>
  </si>
  <si>
    <t>8/16/23 Wardens Meeting Cookies</t>
  </si>
  <si>
    <t>Frito lay chips</t>
  </si>
  <si>
    <t>Annex - .55 per meal - regular inmate meals 8/3-8/30 48705 meals</t>
  </si>
  <si>
    <t>Northwest Annex - .55 per meal - regular inmate meals 8/3-8/30 48705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</si>
</sst>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;[Red]&quot;$&quot;#,##0.00"/>
    <numFmt numFmtId="166" formatCode="000000000"/>
    <numFmt numFmtId="167" formatCode="_(&quot;$&quot;* #,##0.000_);_(&quot;$&quot;* \(#,##0.000\);_(&quot;$&quot;* &quot;-&quot;??_);_(@_)"/>
    <numFmt numFmtId="168" formatCode="&quot;$&quot;#,##0.00"/>
    <numFmt numFmtId="169" formatCode="&quot;$&quot;#,##0.000;[Red]&quot;$&quot;#,##0.000"/>
    <numFmt numFmtId="170" formatCode="0.000000_);\(0.000000\)"/>
    <numFmt numFmtId="171" formatCode="_(* #,##0_);_(* \(#,##0\);_(* &quot;-&quot;??_);_(@_)"/>
    <numFmt numFmtId="172" formatCode="_(&quot;$&quot;* #,##0_);_(&quot;$&quot;* \(#,##0\);_(&quot;$&quot;* &quot;-&quot;??_);_(@_)"/>
    <numFmt numFmtId="173" formatCode="_(* #,##0.0000_);_(* \(#,##0.0000\);_(* &quot;-&quot;??_);_(@_)"/>
    <numFmt numFmtId="174" formatCode="_(* #,##0.00_);_(* \(#,##0.00\);_(* \-??_);_(@_)"/>
    <numFmt numFmtId="175" formatCode="m/d/yy;@"/>
    <numFmt numFmtId="176" formatCode="&quot;$&quot;#,##0"/>
    <numFmt numFmtId="177" formatCode="0.0"/>
    <numFmt numFmtId="178" formatCode="[$-409]m/d/yyyy"/>
  </numFmts>
  <fonts count="96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u/>
      <sz val="12"/>
      <name val="Times New Roman"/>
      <family val="1"/>
    </font>
    <font>
      <b/>
      <sz val="14"/>
      <name val="Arial"/>
      <family val="2"/>
    </font>
    <font>
      <u/>
      <sz val="12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Microsoft Sans Serif"/>
      <family val="2"/>
    </font>
    <font>
      <sz val="12"/>
      <color theme="1"/>
      <name val="Microsoft Sans Serif"/>
      <family val="2"/>
    </font>
    <font>
      <sz val="11"/>
      <name val="Microsoft Sans Serif"/>
      <family val="2"/>
    </font>
    <font>
      <sz val="11"/>
      <color theme="1"/>
      <name val="Microsoft Sans Serif"/>
      <family val="2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name val="Arial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8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EBF1D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3" fillId="0" borderId="0"/>
    <xf numFmtId="0" fontId="34" fillId="0" borderId="0"/>
    <xf numFmtId="0" fontId="18" fillId="0" borderId="0"/>
    <xf numFmtId="0" fontId="51" fillId="0" borderId="0"/>
    <xf numFmtId="0" fontId="53" fillId="0" borderId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4" borderId="0" applyNumberFormat="0" applyBorder="0" applyAlignment="0" applyProtection="0"/>
    <xf numFmtId="0" fontId="55" fillId="8" borderId="0" applyNumberFormat="0" applyBorder="0" applyAlignment="0" applyProtection="0"/>
    <xf numFmtId="0" fontId="56" fillId="25" borderId="80" applyNumberFormat="0" applyAlignment="0" applyProtection="0"/>
    <xf numFmtId="0" fontId="57" fillId="26" borderId="81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60" fillId="0" borderId="82" applyNumberFormat="0" applyFill="0" applyAlignment="0" applyProtection="0"/>
    <xf numFmtId="0" fontId="61" fillId="0" borderId="83" applyNumberFormat="0" applyFill="0" applyAlignment="0" applyProtection="0"/>
    <xf numFmtId="0" fontId="62" fillId="0" borderId="84" applyNumberFormat="0" applyFill="0" applyAlignment="0" applyProtection="0"/>
    <xf numFmtId="0" fontId="62" fillId="0" borderId="0" applyNumberFormat="0" applyFill="0" applyBorder="0" applyAlignment="0" applyProtection="0"/>
    <xf numFmtId="0" fontId="63" fillId="12" borderId="80" applyNumberFormat="0" applyAlignment="0" applyProtection="0"/>
    <xf numFmtId="0" fontId="64" fillId="0" borderId="85" applyNumberFormat="0" applyFill="0" applyAlignment="0" applyProtection="0"/>
    <xf numFmtId="0" fontId="65" fillId="27" borderId="0" applyNumberFormat="0" applyBorder="0" applyAlignment="0" applyProtection="0"/>
    <xf numFmtId="0" fontId="2" fillId="28" borderId="86" applyNumberFormat="0" applyFont="0" applyAlignment="0" applyProtection="0"/>
    <xf numFmtId="0" fontId="66" fillId="25" borderId="87" applyNumberFormat="0" applyAlignment="0" applyProtection="0"/>
    <xf numFmtId="0" fontId="67" fillId="0" borderId="0" applyNumberFormat="0" applyFill="0" applyBorder="0" applyAlignment="0" applyProtection="0"/>
    <xf numFmtId="0" fontId="52" fillId="0" borderId="88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/>
    <xf numFmtId="0" fontId="42" fillId="0" borderId="0"/>
    <xf numFmtId="0" fontId="69" fillId="0" borderId="0"/>
    <xf numFmtId="9" fontId="2" fillId="0" borderId="0" applyFont="0" applyFill="0" applyBorder="0" applyAlignment="0" applyProtection="0"/>
    <xf numFmtId="0" fontId="2" fillId="0" borderId="0"/>
    <xf numFmtId="0" fontId="56" fillId="25" borderId="89" applyNumberFormat="0" applyAlignment="0" applyProtection="0"/>
    <xf numFmtId="0" fontId="63" fillId="12" borderId="89" applyNumberFormat="0" applyAlignment="0" applyProtection="0"/>
    <xf numFmtId="0" fontId="66" fillId="25" borderId="90" applyNumberFormat="0" applyAlignment="0" applyProtection="0"/>
    <xf numFmtId="0" fontId="52" fillId="0" borderId="91" applyNumberFormat="0" applyFill="0" applyAlignment="0" applyProtection="0"/>
    <xf numFmtId="0" fontId="42" fillId="0" borderId="0"/>
    <xf numFmtId="9" fontId="2" fillId="0" borderId="0" applyFont="0" applyFill="0" applyBorder="0" applyAlignment="0" applyProtection="0"/>
    <xf numFmtId="174" fontId="5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91" applyNumberFormat="0" applyFill="0" applyAlignment="0" applyProtection="0"/>
    <xf numFmtId="0" fontId="66" fillId="25" borderId="90" applyNumberFormat="0" applyAlignment="0" applyProtection="0"/>
    <xf numFmtId="0" fontId="63" fillId="12" borderId="89" applyNumberFormat="0" applyAlignment="0" applyProtection="0"/>
    <xf numFmtId="0" fontId="56" fillId="25" borderId="89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" fillId="28" borderId="96" applyNumberFormat="0" applyFont="0" applyAlignment="0" applyProtection="0"/>
    <xf numFmtId="9" fontId="18" fillId="0" borderId="0" applyFont="0" applyFill="0" applyBorder="0" applyAlignment="0" applyProtection="0"/>
    <xf numFmtId="0" fontId="74" fillId="0" borderId="0"/>
    <xf numFmtId="0" fontId="56" fillId="25" borderId="98" applyNumberFormat="0" applyAlignment="0" applyProtection="0"/>
    <xf numFmtId="0" fontId="63" fillId="12" borderId="98" applyNumberFormat="0" applyAlignment="0" applyProtection="0"/>
    <xf numFmtId="0" fontId="66" fillId="25" borderId="99" applyNumberFormat="0" applyAlignment="0" applyProtection="0"/>
    <xf numFmtId="0" fontId="52" fillId="0" borderId="100" applyNumberFormat="0" applyFill="0" applyAlignment="0" applyProtection="0"/>
    <xf numFmtId="0" fontId="80" fillId="0" borderId="0"/>
    <xf numFmtId="0" fontId="63" fillId="12" borderId="106" applyNumberFormat="0" applyAlignment="0" applyProtection="0"/>
    <xf numFmtId="0" fontId="56" fillId="25" borderId="106" applyNumberFormat="0" applyAlignment="0" applyProtection="0"/>
    <xf numFmtId="0" fontId="63" fillId="12" borderId="106" applyNumberFormat="0" applyAlignment="0" applyProtection="0"/>
    <xf numFmtId="0" fontId="66" fillId="25" borderId="107" applyNumberFormat="0" applyAlignment="0" applyProtection="0"/>
    <xf numFmtId="0" fontId="52" fillId="0" borderId="108" applyNumberFormat="0" applyFill="0" applyAlignment="0" applyProtection="0"/>
    <xf numFmtId="0" fontId="52" fillId="0" borderId="108" applyNumberFormat="0" applyFill="0" applyAlignment="0" applyProtection="0"/>
    <xf numFmtId="0" fontId="52" fillId="0" borderId="100" applyNumberFormat="0" applyFill="0" applyAlignment="0" applyProtection="0"/>
    <xf numFmtId="0" fontId="66" fillId="25" borderId="99" applyNumberFormat="0" applyAlignment="0" applyProtection="0"/>
    <xf numFmtId="0" fontId="63" fillId="12" borderId="98" applyNumberFormat="0" applyAlignment="0" applyProtection="0"/>
    <xf numFmtId="0" fontId="56" fillId="25" borderId="98" applyNumberFormat="0" applyAlignment="0" applyProtection="0"/>
    <xf numFmtId="0" fontId="66" fillId="25" borderId="107" applyNumberFormat="0" applyAlignment="0" applyProtection="0"/>
    <xf numFmtId="0" fontId="56" fillId="25" borderId="106" applyNumberFormat="0" applyAlignment="0" applyProtection="0"/>
    <xf numFmtId="0" fontId="2" fillId="0" borderId="0"/>
    <xf numFmtId="0" fontId="2" fillId="0" borderId="0"/>
    <xf numFmtId="0" fontId="56" fillId="25" borderId="121" applyNumberFormat="0" applyAlignment="0" applyProtection="0"/>
    <xf numFmtId="0" fontId="63" fillId="12" borderId="121" applyNumberFormat="0" applyAlignment="0" applyProtection="0"/>
    <xf numFmtId="0" fontId="2" fillId="28" borderId="96" applyNumberFormat="0" applyFont="0" applyAlignment="0" applyProtection="0"/>
    <xf numFmtId="0" fontId="66" fillId="25" borderId="107" applyNumberFormat="0" applyAlignment="0" applyProtection="0"/>
    <xf numFmtId="0" fontId="52" fillId="0" borderId="108" applyNumberFormat="0" applyFill="0" applyAlignment="0" applyProtection="0"/>
    <xf numFmtId="0" fontId="56" fillId="25" borderId="106" applyNumberFormat="0" applyAlignment="0" applyProtection="0"/>
    <xf numFmtId="0" fontId="63" fillId="12" borderId="106" applyNumberFormat="0" applyAlignment="0" applyProtection="0"/>
    <xf numFmtId="0" fontId="66" fillId="25" borderId="107" applyNumberFormat="0" applyAlignment="0" applyProtection="0"/>
    <xf numFmtId="0" fontId="52" fillId="0" borderId="108" applyNumberFormat="0" applyFill="0" applyAlignment="0" applyProtection="0"/>
    <xf numFmtId="0" fontId="2" fillId="0" borderId="0"/>
    <xf numFmtId="0" fontId="52" fillId="0" borderId="108" applyNumberFormat="0" applyFill="0" applyAlignment="0" applyProtection="0"/>
    <xf numFmtId="0" fontId="66" fillId="25" borderId="107" applyNumberFormat="0" applyAlignment="0" applyProtection="0"/>
    <xf numFmtId="0" fontId="63" fillId="12" borderId="106" applyNumberFormat="0" applyAlignment="0" applyProtection="0"/>
    <xf numFmtId="0" fontId="56" fillId="25" borderId="106" applyNumberFormat="0" applyAlignment="0" applyProtection="0"/>
    <xf numFmtId="0" fontId="18" fillId="0" borderId="0"/>
    <xf numFmtId="0" fontId="18" fillId="0" borderId="0"/>
  </cellStyleXfs>
  <cellXfs count="903">
    <xf numFmtId="0" fontId="0" fillId="0" borderId="0" xfId="0"/>
    <xf numFmtId="164" fontId="1" fillId="0" borderId="0" xfId="0" applyNumberFormat="1" applyFont="1" applyFill="1"/>
    <xf numFmtId="43" fontId="18" fillId="0" borderId="0" xfId="1" applyNumberFormat="1" applyFill="1"/>
    <xf numFmtId="0" fontId="0" fillId="0" borderId="0" xfId="0" applyBorder="1"/>
    <xf numFmtId="0" fontId="0" fillId="0" borderId="0" xfId="0" applyFill="1" applyBorder="1"/>
    <xf numFmtId="43" fontId="2" fillId="0" borderId="0" xfId="1" applyNumberFormat="1" applyFont="1" applyFill="1"/>
    <xf numFmtId="43" fontId="5" fillId="0" borderId="0" xfId="1" quotePrefix="1" applyNumberFormat="1" applyFont="1" applyFill="1"/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65" fontId="8" fillId="0" borderId="6" xfId="0" applyNumberFormat="1" applyFont="1" applyBorder="1" applyAlignment="1"/>
    <xf numFmtId="0" fontId="12" fillId="0" borderId="0" xfId="0" applyFont="1" applyFill="1" applyBorder="1"/>
    <xf numFmtId="43" fontId="8" fillId="0" borderId="0" xfId="1" applyNumberFormat="1" applyFont="1" applyFill="1" applyBorder="1" applyProtection="1"/>
    <xf numFmtId="44" fontId="13" fillId="0" borderId="0" xfId="2" applyFont="1" applyFill="1" applyBorder="1" applyProtection="1"/>
    <xf numFmtId="43" fontId="13" fillId="0" borderId="0" xfId="1" applyNumberFormat="1" applyFont="1" applyFill="1" applyBorder="1" applyAlignment="1">
      <alignment horizontal="right"/>
    </xf>
    <xf numFmtId="43" fontId="14" fillId="0" borderId="0" xfId="1" applyNumberFormat="1" applyFont="1" applyFill="1" applyBorder="1" applyProtection="1"/>
    <xf numFmtId="44" fontId="14" fillId="0" borderId="0" xfId="1" applyNumberFormat="1" applyFont="1" applyFill="1" applyBorder="1" applyProtection="1"/>
    <xf numFmtId="166" fontId="0" fillId="0" borderId="0" xfId="0" quotePrefix="1" applyNumberFormat="1" applyFill="1" applyBorder="1" applyAlignment="1" applyProtection="1">
      <alignment horizontal="center" vertical="center"/>
      <protection locked="0"/>
    </xf>
    <xf numFmtId="43" fontId="18" fillId="0" borderId="0" xfId="1" applyNumberFormat="1" applyFill="1" applyBorder="1"/>
    <xf numFmtId="43" fontId="15" fillId="0" borderId="0" xfId="1" applyNumberFormat="1" applyFont="1" applyFill="1" applyBorder="1" applyAlignment="1">
      <alignment horizontal="right"/>
    </xf>
    <xf numFmtId="44" fontId="11" fillId="0" borderId="0" xfId="2" applyFont="1" applyFill="1" applyBorder="1"/>
    <xf numFmtId="43" fontId="16" fillId="0" borderId="0" xfId="1" applyNumberFormat="1" applyFont="1" applyFill="1" applyBorder="1"/>
    <xf numFmtId="43" fontId="20" fillId="0" borderId="0" xfId="1" applyNumberFormat="1" applyFont="1" applyFill="1" applyBorder="1"/>
    <xf numFmtId="44" fontId="17" fillId="0" borderId="0" xfId="2" applyFont="1" applyFill="1" applyBorder="1"/>
    <xf numFmtId="43" fontId="2" fillId="0" borderId="0" xfId="1" applyNumberFormat="1" applyFont="1" applyFill="1" applyBorder="1"/>
    <xf numFmtId="0" fontId="0" fillId="0" borderId="0" xfId="0" applyFill="1" applyAlignment="1">
      <alignment horizontal="center" vertical="center" wrapText="1"/>
    </xf>
    <xf numFmtId="44" fontId="23" fillId="0" borderId="0" xfId="2" applyFont="1" applyFill="1" applyBorder="1" applyProtection="1"/>
    <xf numFmtId="44" fontId="23" fillId="0" borderId="15" xfId="2" applyFont="1" applyFill="1" applyBorder="1" applyProtection="1"/>
    <xf numFmtId="0" fontId="25" fillId="0" borderId="0" xfId="0" applyFont="1" applyFill="1" applyBorder="1" applyAlignment="1">
      <alignment horizontal="right"/>
    </xf>
    <xf numFmtId="44" fontId="23" fillId="0" borderId="19" xfId="2" applyFont="1" applyFill="1" applyBorder="1" applyProtection="1"/>
    <xf numFmtId="1" fontId="23" fillId="0" borderId="19" xfId="2" applyNumberFormat="1" applyFont="1" applyFill="1" applyBorder="1" applyAlignment="1" applyProtection="1">
      <alignment horizontal="center"/>
    </xf>
    <xf numFmtId="44" fontId="24" fillId="0" borderId="20" xfId="2" applyFont="1" applyFill="1" applyBorder="1" applyProtection="1"/>
    <xf numFmtId="1" fontId="22" fillId="0" borderId="0" xfId="2" applyNumberFormat="1" applyFont="1" applyFill="1" applyBorder="1" applyAlignment="1" applyProtection="1">
      <alignment horizontal="center"/>
    </xf>
    <xf numFmtId="0" fontId="25" fillId="0" borderId="17" xfId="0" applyFont="1" applyFill="1" applyBorder="1" applyAlignment="1">
      <alignment horizontal="right"/>
    </xf>
    <xf numFmtId="0" fontId="0" fillId="0" borderId="0" xfId="0" applyBorder="1" applyAlignment="1"/>
    <xf numFmtId="14" fontId="0" fillId="0" borderId="8" xfId="0" applyNumberFormat="1" applyBorder="1" applyAlignment="1"/>
    <xf numFmtId="0" fontId="19" fillId="0" borderId="0" xfId="0" applyFont="1"/>
    <xf numFmtId="168" fontId="0" fillId="0" borderId="23" xfId="0" applyNumberFormat="1" applyBorder="1" applyAlignment="1"/>
    <xf numFmtId="168" fontId="0" fillId="0" borderId="24" xfId="0" applyNumberFormat="1" applyBorder="1" applyAlignment="1"/>
    <xf numFmtId="14" fontId="0" fillId="0" borderId="25" xfId="0" applyNumberFormat="1" applyBorder="1" applyAlignment="1"/>
    <xf numFmtId="168" fontId="29" fillId="0" borderId="0" xfId="0" applyNumberFormat="1" applyFont="1" applyAlignment="1"/>
    <xf numFmtId="0" fontId="30" fillId="0" borderId="0" xfId="0" applyFont="1" applyAlignment="1"/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left"/>
    </xf>
    <xf numFmtId="14" fontId="0" fillId="0" borderId="5" xfId="0" applyNumberFormat="1" applyFill="1" applyBorder="1" applyAlignment="1">
      <alignment horizontal="left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16" xfId="0" applyBorder="1"/>
    <xf numFmtId="0" fontId="0" fillId="2" borderId="5" xfId="0" applyFill="1" applyBorder="1" applyAlignment="1">
      <alignment horizontal="left"/>
    </xf>
    <xf numFmtId="0" fontId="0" fillId="0" borderId="41" xfId="0" applyBorder="1" applyAlignment="1">
      <alignment horizontal="right"/>
    </xf>
    <xf numFmtId="14" fontId="0" fillId="2" borderId="41" xfId="0" applyNumberForma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quotePrefix="1" applyAlignment="1">
      <alignment horizontal="left"/>
    </xf>
    <xf numFmtId="0" fontId="31" fillId="0" borderId="1" xfId="0" applyFont="1" applyBorder="1"/>
    <xf numFmtId="0" fontId="0" fillId="0" borderId="3" xfId="0" applyBorder="1"/>
    <xf numFmtId="0" fontId="0" fillId="0" borderId="42" xfId="0" applyBorder="1"/>
    <xf numFmtId="0" fontId="0" fillId="0" borderId="4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1" fontId="0" fillId="0" borderId="5" xfId="0" applyNumberFormat="1" applyBorder="1"/>
    <xf numFmtId="0" fontId="31" fillId="0" borderId="42" xfId="0" applyFont="1" applyBorder="1"/>
    <xf numFmtId="0" fontId="31" fillId="0" borderId="0" xfId="0" applyFont="1" applyBorder="1"/>
    <xf numFmtId="0" fontId="31" fillId="0" borderId="0" xfId="0" applyFont="1" applyBorder="1" applyAlignment="1"/>
    <xf numFmtId="0" fontId="35" fillId="0" borderId="4" xfId="0" applyFont="1" applyBorder="1"/>
    <xf numFmtId="0" fontId="31" fillId="0" borderId="4" xfId="0" applyFont="1" applyBorder="1"/>
    <xf numFmtId="0" fontId="31" fillId="0" borderId="5" xfId="0" applyFont="1" applyBorder="1"/>
    <xf numFmtId="0" fontId="36" fillId="0" borderId="4" xfId="0" applyFont="1" applyBorder="1"/>
    <xf numFmtId="1" fontId="31" fillId="0" borderId="5" xfId="0" applyNumberFormat="1" applyFont="1" applyBorder="1"/>
    <xf numFmtId="44" fontId="31" fillId="0" borderId="8" xfId="2" applyFont="1" applyFill="1" applyBorder="1" applyProtection="1"/>
    <xf numFmtId="44" fontId="31" fillId="0" borderId="10" xfId="2" applyFont="1" applyFill="1" applyBorder="1" applyProtection="1"/>
    <xf numFmtId="1" fontId="31" fillId="0" borderId="12" xfId="2" applyNumberFormat="1" applyFont="1" applyFill="1" applyBorder="1" applyAlignment="1" applyProtection="1">
      <alignment horizontal="center"/>
    </xf>
    <xf numFmtId="168" fontId="31" fillId="0" borderId="12" xfId="2" applyNumberFormat="1" applyFont="1" applyFill="1" applyBorder="1" applyAlignment="1" applyProtection="1">
      <alignment horizontal="center"/>
    </xf>
    <xf numFmtId="44" fontId="31" fillId="0" borderId="7" xfId="2" applyFont="1" applyFill="1" applyBorder="1" applyProtection="1"/>
    <xf numFmtId="44" fontId="31" fillId="0" borderId="11" xfId="2" applyFont="1" applyFill="1" applyBorder="1" applyProtection="1"/>
    <xf numFmtId="1" fontId="31" fillId="0" borderId="13" xfId="2" applyNumberFormat="1" applyFont="1" applyFill="1" applyBorder="1" applyAlignment="1" applyProtection="1">
      <alignment horizontal="center"/>
    </xf>
    <xf numFmtId="168" fontId="31" fillId="0" borderId="13" xfId="2" applyNumberFormat="1" applyFont="1" applyFill="1" applyBorder="1" applyAlignment="1" applyProtection="1">
      <alignment horizontal="center"/>
    </xf>
    <xf numFmtId="44" fontId="38" fillId="0" borderId="7" xfId="2" applyFont="1" applyFill="1" applyBorder="1" applyProtection="1"/>
    <xf numFmtId="44" fontId="38" fillId="0" borderId="11" xfId="2" applyFont="1" applyFill="1" applyBorder="1" applyProtection="1"/>
    <xf numFmtId="1" fontId="39" fillId="0" borderId="14" xfId="2" applyNumberFormat="1" applyFont="1" applyFill="1" applyBorder="1" applyAlignment="1" applyProtection="1">
      <alignment horizontal="center"/>
    </xf>
    <xf numFmtId="1" fontId="31" fillId="0" borderId="14" xfId="2" applyNumberFormat="1" applyFont="1" applyFill="1" applyBorder="1" applyAlignment="1" applyProtection="1">
      <alignment horizontal="center"/>
    </xf>
    <xf numFmtId="168" fontId="31" fillId="0" borderId="14" xfId="2" applyNumberFormat="1" applyFont="1" applyFill="1" applyBorder="1" applyAlignment="1" applyProtection="1">
      <alignment horizontal="center"/>
    </xf>
    <xf numFmtId="44" fontId="31" fillId="0" borderId="10" xfId="2" applyFont="1" applyFill="1" applyBorder="1" applyAlignment="1" applyProtection="1">
      <alignment horizontal="center"/>
    </xf>
    <xf numFmtId="44" fontId="31" fillId="0" borderId="11" xfId="2" applyFont="1" applyFill="1" applyBorder="1" applyAlignment="1" applyProtection="1">
      <alignment horizontal="center"/>
    </xf>
    <xf numFmtId="44" fontId="38" fillId="0" borderId="11" xfId="2" applyFont="1" applyFill="1" applyBorder="1" applyAlignment="1" applyProtection="1">
      <alignment horizontal="center"/>
    </xf>
    <xf numFmtId="1" fontId="38" fillId="0" borderId="14" xfId="2" applyNumberFormat="1" applyFont="1" applyFill="1" applyBorder="1" applyAlignment="1" applyProtection="1">
      <alignment horizontal="center"/>
    </xf>
    <xf numFmtId="14" fontId="0" fillId="0" borderId="0" xfId="0" applyNumberFormat="1" applyAlignment="1">
      <alignment shrinkToFit="1"/>
    </xf>
    <xf numFmtId="0" fontId="40" fillId="0" borderId="31" xfId="0" applyFont="1" applyBorder="1" applyAlignment="1">
      <alignment horizontal="center"/>
    </xf>
    <xf numFmtId="14" fontId="19" fillId="0" borderId="0" xfId="0" applyNumberFormat="1" applyFont="1" applyAlignment="1">
      <alignment shrinkToFit="1"/>
    </xf>
    <xf numFmtId="0" fontId="0" fillId="0" borderId="0" xfId="0" applyAlignment="1">
      <alignment horizontal="center"/>
    </xf>
    <xf numFmtId="0" fontId="0" fillId="0" borderId="0" xfId="0" applyProtection="1"/>
    <xf numFmtId="0" fontId="37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2" borderId="5" xfId="0" applyFill="1" applyBorder="1" applyAlignment="1" applyProtection="1">
      <alignment horizontal="left"/>
    </xf>
    <xf numFmtId="14" fontId="0" fillId="2" borderId="41" xfId="0" applyNumberFormat="1" applyFill="1" applyBorder="1" applyAlignment="1" applyProtection="1">
      <alignment horizontal="left"/>
    </xf>
    <xf numFmtId="0" fontId="0" fillId="0" borderId="41" xfId="0" applyBorder="1" applyAlignment="1" applyProtection="1">
      <alignment horizontal="right"/>
    </xf>
    <xf numFmtId="43" fontId="5" fillId="0" borderId="0" xfId="1" quotePrefix="1" applyNumberFormat="1" applyFont="1" applyFill="1" applyProtection="1"/>
    <xf numFmtId="0" fontId="8" fillId="0" borderId="1" xfId="0" applyFont="1" applyBorder="1" applyAlignment="1" applyProtection="1">
      <alignment horizontal="right"/>
    </xf>
    <xf numFmtId="164" fontId="9" fillId="0" borderId="0" xfId="0" applyNumberFormat="1" applyFont="1" applyFill="1" applyBorder="1" applyProtection="1"/>
    <xf numFmtId="43" fontId="15" fillId="0" borderId="0" xfId="1" quotePrefix="1" applyNumberFormat="1" applyFont="1" applyFill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2" fillId="0" borderId="0" xfId="0" applyFont="1" applyFill="1" applyProtection="1"/>
    <xf numFmtId="169" fontId="10" fillId="0" borderId="0" xfId="0" applyNumberFormat="1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0" fillId="0" borderId="0" xfId="0" applyFill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43" fontId="15" fillId="0" borderId="9" xfId="1" applyNumberFormat="1" applyFont="1" applyFill="1" applyBorder="1" applyAlignment="1" applyProtection="1">
      <alignment horizontal="center" wrapText="1"/>
    </xf>
    <xf numFmtId="44" fontId="11" fillId="0" borderId="9" xfId="2" applyFont="1" applyFill="1" applyBorder="1" applyAlignment="1" applyProtection="1">
      <alignment horizontal="center" wrapText="1"/>
    </xf>
    <xf numFmtId="43" fontId="10" fillId="0" borderId="9" xfId="1" applyNumberFormat="1" applyFont="1" applyFill="1" applyBorder="1" applyAlignment="1" applyProtection="1">
      <alignment horizontal="center" wrapText="1"/>
    </xf>
    <xf numFmtId="166" fontId="38" fillId="0" borderId="44" xfId="0" applyNumberFormat="1" applyFont="1" applyFill="1" applyBorder="1" applyAlignment="1" applyProtection="1">
      <alignment horizontal="left" vertical="center"/>
    </xf>
    <xf numFmtId="166" fontId="38" fillId="0" borderId="45" xfId="0" applyNumberFormat="1" applyFont="1" applyFill="1" applyBorder="1" applyAlignment="1" applyProtection="1">
      <alignment horizontal="left" vertical="center"/>
    </xf>
    <xf numFmtId="0" fontId="38" fillId="0" borderId="45" xfId="0" applyFont="1" applyFill="1" applyBorder="1" applyProtection="1"/>
    <xf numFmtId="0" fontId="31" fillId="0" borderId="0" xfId="0" quotePrefix="1" applyFont="1" applyAlignment="1" applyProtection="1">
      <alignment horizontal="center"/>
    </xf>
    <xf numFmtId="166" fontId="38" fillId="0" borderId="45" xfId="0" quotePrefix="1" applyNumberFormat="1" applyFont="1" applyFill="1" applyBorder="1" applyAlignment="1" applyProtection="1">
      <alignment horizontal="left" vertical="center"/>
    </xf>
    <xf numFmtId="166" fontId="38" fillId="0" borderId="46" xfId="0" applyNumberFormat="1" applyFont="1" applyFill="1" applyBorder="1" applyAlignment="1" applyProtection="1">
      <alignment horizontal="left" vertical="center"/>
    </xf>
    <xf numFmtId="0" fontId="25" fillId="0" borderId="2" xfId="0" applyFont="1" applyFill="1" applyBorder="1" applyAlignment="1" applyProtection="1">
      <alignment horizontal="right"/>
    </xf>
    <xf numFmtId="0" fontId="25" fillId="0" borderId="0" xfId="0" applyFont="1" applyFill="1" applyBorder="1" applyAlignment="1" applyProtection="1">
      <alignment horizontal="right"/>
    </xf>
    <xf numFmtId="44" fontId="25" fillId="0" borderId="32" xfId="2" applyFont="1" applyFill="1" applyBorder="1" applyAlignment="1" applyProtection="1">
      <alignment horizontal="center"/>
    </xf>
    <xf numFmtId="1" fontId="25" fillId="0" borderId="32" xfId="0" applyNumberFormat="1" applyFont="1" applyFill="1" applyBorder="1" applyAlignment="1" applyProtection="1">
      <alignment horizontal="center"/>
    </xf>
    <xf numFmtId="0" fontId="25" fillId="0" borderId="19" xfId="0" applyFont="1" applyFill="1" applyBorder="1" applyProtection="1"/>
    <xf numFmtId="0" fontId="31" fillId="0" borderId="0" xfId="0" quotePrefix="1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32" fillId="0" borderId="0" xfId="0" applyFont="1" applyProtection="1"/>
    <xf numFmtId="0" fontId="27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wrapText="1"/>
    </xf>
    <xf numFmtId="0" fontId="0" fillId="0" borderId="0" xfId="0" applyBorder="1" applyProtection="1"/>
    <xf numFmtId="166" fontId="21" fillId="0" borderId="0" xfId="0" applyNumberFormat="1" applyFont="1" applyFill="1" applyBorder="1" applyAlignment="1" applyProtection="1">
      <alignment textRotation="50"/>
    </xf>
    <xf numFmtId="0" fontId="21" fillId="0" borderId="0" xfId="0" applyFont="1" applyFill="1" applyBorder="1" applyAlignment="1" applyProtection="1">
      <alignment textRotation="50"/>
    </xf>
    <xf numFmtId="166" fontId="21" fillId="0" borderId="0" xfId="0" quotePrefix="1" applyNumberFormat="1" applyFont="1" applyFill="1" applyBorder="1" applyAlignment="1" applyProtection="1">
      <alignment textRotation="50"/>
    </xf>
    <xf numFmtId="0" fontId="0" fillId="0" borderId="0" xfId="0" applyFont="1" applyBorder="1" applyAlignment="1" applyProtection="1">
      <alignment textRotation="52"/>
    </xf>
    <xf numFmtId="0" fontId="0" fillId="0" borderId="0" xfId="0" applyBorder="1" applyAlignment="1" applyProtection="1">
      <alignment textRotation="52"/>
    </xf>
    <xf numFmtId="0" fontId="0" fillId="0" borderId="0" xfId="0" applyAlignment="1" applyProtection="1">
      <alignment textRotation="52"/>
    </xf>
    <xf numFmtId="0" fontId="27" fillId="0" borderId="0" xfId="0" applyFont="1" applyAlignment="1" applyProtection="1">
      <alignment textRotation="52"/>
    </xf>
    <xf numFmtId="14" fontId="0" fillId="0" borderId="0" xfId="0" applyNumberFormat="1" applyBorder="1" applyProtection="1"/>
    <xf numFmtId="0" fontId="0" fillId="0" borderId="13" xfId="0" applyNumberFormat="1" applyBorder="1" applyProtection="1"/>
    <xf numFmtId="0" fontId="21" fillId="0" borderId="13" xfId="0" applyNumberFormat="1" applyFont="1" applyFill="1" applyBorder="1" applyAlignment="1" applyProtection="1">
      <alignment vertical="center"/>
    </xf>
    <xf numFmtId="0" fontId="0" fillId="0" borderId="11" xfId="0" applyNumberFormat="1" applyBorder="1" applyProtection="1"/>
    <xf numFmtId="0" fontId="0" fillId="0" borderId="33" xfId="0" applyBorder="1" applyProtection="1"/>
    <xf numFmtId="0" fontId="0" fillId="0" borderId="34" xfId="0" applyBorder="1" applyProtection="1"/>
    <xf numFmtId="168" fontId="0" fillId="0" borderId="34" xfId="0" applyNumberFormat="1" applyBorder="1" applyProtection="1"/>
    <xf numFmtId="168" fontId="19" fillId="0" borderId="35" xfId="0" applyNumberFormat="1" applyFont="1" applyBorder="1" applyProtection="1"/>
    <xf numFmtId="0" fontId="0" fillId="0" borderId="36" xfId="0" applyBorder="1" applyProtection="1"/>
    <xf numFmtId="0" fontId="0" fillId="0" borderId="31" xfId="0" applyBorder="1" applyProtection="1"/>
    <xf numFmtId="168" fontId="0" fillId="0" borderId="31" xfId="0" applyNumberFormat="1" applyBorder="1" applyProtection="1"/>
    <xf numFmtId="168" fontId="19" fillId="0" borderId="37" xfId="0" applyNumberFormat="1" applyFont="1" applyBorder="1" applyProtection="1"/>
    <xf numFmtId="0" fontId="0" fillId="0" borderId="38" xfId="0" applyBorder="1" applyProtection="1"/>
    <xf numFmtId="0" fontId="0" fillId="0" borderId="39" xfId="0" applyBorder="1" applyProtection="1"/>
    <xf numFmtId="168" fontId="0" fillId="0" borderId="39" xfId="0" applyNumberFormat="1" applyBorder="1" applyProtection="1"/>
    <xf numFmtId="168" fontId="19" fillId="0" borderId="40" xfId="0" applyNumberFormat="1" applyFont="1" applyBorder="1" applyProtection="1"/>
    <xf numFmtId="168" fontId="0" fillId="0" borderId="0" xfId="0" applyNumberFormat="1" applyProtection="1"/>
    <xf numFmtId="0" fontId="19" fillId="0" borderId="0" xfId="0" applyFont="1" applyProtection="1"/>
    <xf numFmtId="0" fontId="0" fillId="0" borderId="32" xfId="0" applyBorder="1" applyProtection="1"/>
    <xf numFmtId="168" fontId="0" fillId="0" borderId="32" xfId="0" applyNumberFormat="1" applyBorder="1" applyProtection="1"/>
    <xf numFmtId="168" fontId="19" fillId="0" borderId="32" xfId="0" applyNumberFormat="1" applyFont="1" applyBorder="1" applyProtection="1"/>
    <xf numFmtId="14" fontId="0" fillId="3" borderId="0" xfId="0" applyNumberFormat="1" applyFill="1" applyAlignment="1" applyProtection="1">
      <alignment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168" fontId="25" fillId="0" borderId="32" xfId="2" applyNumberFormat="1" applyFont="1" applyFill="1" applyBorder="1" applyAlignment="1" applyProtection="1">
      <alignment horizontal="center"/>
    </xf>
    <xf numFmtId="170" fontId="15" fillId="3" borderId="0" xfId="1" quotePrefix="1" applyNumberFormat="1" applyFont="1" applyFill="1" applyAlignment="1" applyProtection="1">
      <alignment horizontal="center"/>
    </xf>
    <xf numFmtId="0" fontId="37" fillId="2" borderId="0" xfId="0" applyFont="1" applyFill="1" applyAlignment="1" applyProtection="1">
      <alignment horizontal="right"/>
    </xf>
    <xf numFmtId="0" fontId="19" fillId="0" borderId="0" xfId="0" applyFont="1" applyAlignment="1">
      <alignment horizontal="right"/>
    </xf>
    <xf numFmtId="168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14" fontId="0" fillId="0" borderId="0" xfId="0" applyNumberFormat="1" applyBorder="1" applyAlignment="1">
      <alignment shrinkToFit="1"/>
    </xf>
    <xf numFmtId="14" fontId="19" fillId="0" borderId="0" xfId="0" applyNumberFormat="1" applyFont="1" applyBorder="1" applyAlignment="1">
      <alignment shrinkToFit="1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right"/>
    </xf>
    <xf numFmtId="168" fontId="31" fillId="0" borderId="0" xfId="2" applyNumberFormat="1" applyFont="1" applyBorder="1" applyAlignment="1">
      <alignment horizontal="center"/>
    </xf>
    <xf numFmtId="0" fontId="31" fillId="0" borderId="0" xfId="0" applyFont="1" applyAlignment="1"/>
    <xf numFmtId="0" fontId="0" fillId="0" borderId="0" xfId="0" applyFont="1" applyFill="1" applyAlignment="1">
      <alignment horizontal="left"/>
    </xf>
    <xf numFmtId="44" fontId="25" fillId="0" borderId="2" xfId="2" applyFont="1" applyFill="1" applyBorder="1" applyProtection="1"/>
    <xf numFmtId="44" fontId="25" fillId="0" borderId="52" xfId="2" applyFont="1" applyFill="1" applyBorder="1" applyProtection="1"/>
    <xf numFmtId="44" fontId="25" fillId="0" borderId="17" xfId="2" applyFont="1" applyFill="1" applyBorder="1" applyProtection="1"/>
    <xf numFmtId="0" fontId="0" fillId="0" borderId="19" xfId="0" applyBorder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168" fontId="31" fillId="0" borderId="5" xfId="2" applyNumberFormat="1" applyFont="1" applyBorder="1" applyAlignment="1">
      <alignment horizontal="center"/>
    </xf>
    <xf numFmtId="167" fontId="31" fillId="0" borderId="5" xfId="2" applyNumberFormat="1" applyFont="1" applyBorder="1" applyAlignment="1">
      <alignment horizontal="center"/>
    </xf>
    <xf numFmtId="14" fontId="41" fillId="0" borderId="8" xfId="0" applyNumberFormat="1" applyFont="1" applyBorder="1" applyAlignment="1"/>
    <xf numFmtId="0" fontId="0" fillId="0" borderId="11" xfId="0" applyBorder="1" applyAlignment="1"/>
    <xf numFmtId="0" fontId="0" fillId="0" borderId="27" xfId="0" applyBorder="1" applyAlignment="1"/>
    <xf numFmtId="0" fontId="0" fillId="0" borderId="26" xfId="0" applyBorder="1" applyAlignment="1"/>
    <xf numFmtId="37" fontId="18" fillId="4" borderId="53" xfId="2" applyNumberFormat="1" applyFont="1" applyFill="1" applyBorder="1" applyProtection="1"/>
    <xf numFmtId="0" fontId="27" fillId="0" borderId="28" xfId="0" applyFont="1" applyBorder="1" applyAlignment="1">
      <alignment horizontal="center" wrapText="1"/>
    </xf>
    <xf numFmtId="0" fontId="27" fillId="0" borderId="21" xfId="0" applyFont="1" applyBorder="1" applyAlignment="1">
      <alignment wrapText="1"/>
    </xf>
    <xf numFmtId="0" fontId="27" fillId="0" borderId="29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68" fontId="29" fillId="0" borderId="0" xfId="0" applyNumberFormat="1" applyFont="1" applyAlignment="1">
      <alignment horizontal="right"/>
    </xf>
    <xf numFmtId="1" fontId="26" fillId="0" borderId="0" xfId="2" applyNumberFormat="1" applyFont="1" applyFill="1" applyBorder="1" applyAlignment="1" applyProtection="1">
      <alignment horizontal="center"/>
    </xf>
    <xf numFmtId="44" fontId="0" fillId="0" borderId="0" xfId="0" applyNumberFormat="1"/>
    <xf numFmtId="14" fontId="0" fillId="0" borderId="7" xfId="0" applyNumberFormat="1" applyBorder="1" applyAlignment="1"/>
    <xf numFmtId="44" fontId="25" fillId="0" borderId="0" xfId="2" applyFont="1" applyFill="1" applyBorder="1" applyProtection="1"/>
    <xf numFmtId="0" fontId="0" fillId="0" borderId="56" xfId="0" applyBorder="1" applyAlignment="1"/>
    <xf numFmtId="168" fontId="0" fillId="0" borderId="57" xfId="0" applyNumberFormat="1" applyBorder="1" applyAlignment="1"/>
    <xf numFmtId="0" fontId="0" fillId="0" borderId="13" xfId="0" applyBorder="1" applyAlignment="1"/>
    <xf numFmtId="14" fontId="0" fillId="0" borderId="58" xfId="0" applyNumberFormat="1" applyBorder="1" applyAlignment="1"/>
    <xf numFmtId="0" fontId="0" fillId="0" borderId="59" xfId="0" applyBorder="1" applyAlignment="1"/>
    <xf numFmtId="171" fontId="30" fillId="0" borderId="0" xfId="1" applyNumberFormat="1" applyFont="1" applyAlignment="1">
      <alignment horizontal="center"/>
    </xf>
    <xf numFmtId="171" fontId="0" fillId="0" borderId="27" xfId="1" applyNumberFormat="1" applyFont="1" applyBorder="1" applyAlignment="1"/>
    <xf numFmtId="171" fontId="0" fillId="0" borderId="11" xfId="1" applyNumberFormat="1" applyFont="1" applyBorder="1" applyAlignment="1"/>
    <xf numFmtId="171" fontId="0" fillId="0" borderId="0" xfId="1" applyNumberFormat="1" applyFont="1"/>
    <xf numFmtId="171" fontId="18" fillId="0" borderId="13" xfId="1" applyNumberFormat="1" applyFont="1" applyFill="1" applyBorder="1" applyAlignment="1" applyProtection="1">
      <alignment horizontal="center"/>
    </xf>
    <xf numFmtId="0" fontId="43" fillId="0" borderId="62" xfId="5" applyFont="1" applyFill="1" applyBorder="1" applyAlignment="1" applyProtection="1">
      <alignment horizontal="right" vertical="center" wrapText="1"/>
    </xf>
    <xf numFmtId="0" fontId="43" fillId="0" borderId="63" xfId="5" applyFont="1" applyFill="1" applyBorder="1" applyAlignment="1" applyProtection="1">
      <alignment horizontal="center" vertical="center" wrapText="1"/>
    </xf>
    <xf numFmtId="0" fontId="43" fillId="0" borderId="41" xfId="5" applyFont="1" applyFill="1" applyBorder="1" applyAlignment="1" applyProtection="1">
      <alignment horizontal="right" vertical="center" wrapText="1"/>
    </xf>
    <xf numFmtId="0" fontId="43" fillId="0" borderId="64" xfId="5" applyFont="1" applyFill="1" applyBorder="1" applyAlignment="1" applyProtection="1">
      <alignment horizontal="center" vertical="center" wrapText="1"/>
    </xf>
    <xf numFmtId="14" fontId="43" fillId="0" borderId="64" xfId="5" applyNumberFormat="1" applyFont="1" applyFill="1" applyBorder="1" applyAlignment="1" applyProtection="1">
      <alignment horizontal="center" vertical="center" shrinkToFit="1"/>
    </xf>
    <xf numFmtId="14" fontId="0" fillId="0" borderId="70" xfId="0" applyNumberFormat="1" applyBorder="1" applyAlignment="1"/>
    <xf numFmtId="168" fontId="0" fillId="0" borderId="71" xfId="0" applyNumberFormat="1" applyBorder="1" applyAlignment="1"/>
    <xf numFmtId="168" fontId="0" fillId="0" borderId="72" xfId="0" applyNumberFormat="1" applyBorder="1" applyAlignment="1"/>
    <xf numFmtId="14" fontId="0" fillId="0" borderId="73" xfId="0" applyNumberFormat="1" applyBorder="1" applyAlignment="1"/>
    <xf numFmtId="0" fontId="0" fillId="0" borderId="74" xfId="0" applyBorder="1" applyAlignment="1"/>
    <xf numFmtId="0" fontId="21" fillId="0" borderId="0" xfId="0" applyFont="1"/>
    <xf numFmtId="171" fontId="45" fillId="0" borderId="31" xfId="1" applyNumberFormat="1" applyFont="1" applyFill="1" applyBorder="1" applyAlignment="1">
      <alignment horizontal="center" vertical="center" wrapText="1"/>
    </xf>
    <xf numFmtId="0" fontId="0" fillId="0" borderId="31" xfId="0" applyBorder="1"/>
    <xf numFmtId="168" fontId="0" fillId="0" borderId="31" xfId="0" applyNumberFormat="1" applyBorder="1"/>
    <xf numFmtId="0" fontId="0" fillId="0" borderId="0" xfId="0" quotePrefix="1" applyFill="1" applyBorder="1"/>
    <xf numFmtId="172" fontId="0" fillId="0" borderId="0" xfId="2" applyNumberFormat="1" applyFont="1" applyFill="1" applyBorder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5" borderId="43" xfId="0" applyFill="1" applyBorder="1"/>
    <xf numFmtId="0" fontId="0" fillId="5" borderId="75" xfId="0" applyFill="1" applyBorder="1"/>
    <xf numFmtId="172" fontId="0" fillId="5" borderId="75" xfId="2" applyNumberFormat="1" applyFont="1" applyFill="1" applyBorder="1"/>
    <xf numFmtId="0" fontId="0" fillId="5" borderId="76" xfId="0" applyFill="1" applyBorder="1" applyAlignment="1"/>
    <xf numFmtId="0" fontId="0" fillId="5" borderId="62" xfId="0" applyFill="1" applyBorder="1" applyAlignment="1"/>
    <xf numFmtId="0" fontId="0" fillId="5" borderId="16" xfId="0" applyFill="1" applyBorder="1"/>
    <xf numFmtId="49" fontId="0" fillId="5" borderId="0" xfId="0" applyNumberFormat="1" applyFill="1" applyBorder="1"/>
    <xf numFmtId="44" fontId="0" fillId="5" borderId="0" xfId="2" applyFont="1" applyFill="1" applyBorder="1"/>
    <xf numFmtId="0" fontId="0" fillId="0" borderId="75" xfId="0" applyFill="1" applyBorder="1"/>
    <xf numFmtId="172" fontId="0" fillId="0" borderId="75" xfId="2" applyNumberFormat="1" applyFont="1" applyBorder="1"/>
    <xf numFmtId="0" fontId="0" fillId="0" borderId="43" xfId="0" applyFill="1" applyBorder="1"/>
    <xf numFmtId="172" fontId="0" fillId="0" borderId="75" xfId="2" applyNumberFormat="1" applyFont="1" applyFill="1" applyBorder="1"/>
    <xf numFmtId="0" fontId="0" fillId="5" borderId="18" xfId="0" applyFill="1" applyBorder="1"/>
    <xf numFmtId="0" fontId="0" fillId="5" borderId="19" xfId="0" applyFill="1" applyBorder="1"/>
    <xf numFmtId="172" fontId="0" fillId="0" borderId="77" xfId="2" applyNumberFormat="1" applyFont="1" applyBorder="1"/>
    <xf numFmtId="172" fontId="0" fillId="0" borderId="0" xfId="2" applyNumberFormat="1" applyFont="1"/>
    <xf numFmtId="168" fontId="0" fillId="0" borderId="78" xfId="0" applyNumberFormat="1" applyBorder="1" applyAlignment="1"/>
    <xf numFmtId="168" fontId="0" fillId="0" borderId="78" xfId="0" quotePrefix="1" applyNumberFormat="1" applyBorder="1"/>
    <xf numFmtId="0" fontId="0" fillId="0" borderId="11" xfId="0" applyBorder="1" applyAlignment="1">
      <alignment horizontal="right"/>
    </xf>
    <xf numFmtId="171" fontId="26" fillId="0" borderId="5" xfId="1" applyNumberFormat="1" applyFont="1" applyFill="1" applyBorder="1" applyAlignment="1" applyProtection="1">
      <alignment horizontal="center"/>
    </xf>
    <xf numFmtId="0" fontId="46" fillId="5" borderId="31" xfId="0" applyNumberFormat="1" applyFont="1" applyFill="1" applyBorder="1"/>
    <xf numFmtId="0" fontId="46" fillId="5" borderId="31" xfId="0" applyFont="1" applyFill="1" applyBorder="1"/>
    <xf numFmtId="44" fontId="46" fillId="5" borderId="31" xfId="2" applyFont="1" applyFill="1" applyBorder="1"/>
    <xf numFmtId="0" fontId="21" fillId="0" borderId="0" xfId="0" applyFont="1" applyFill="1"/>
    <xf numFmtId="168" fontId="0" fillId="0" borderId="31" xfId="0" applyNumberFormat="1" applyFill="1" applyBorder="1"/>
    <xf numFmtId="0" fontId="45" fillId="0" borderId="0" xfId="0" applyFont="1" applyFill="1" applyBorder="1"/>
    <xf numFmtId="0" fontId="47" fillId="0" borderId="0" xfId="0" applyFont="1" applyFill="1" applyBorder="1"/>
    <xf numFmtId="0" fontId="48" fillId="5" borderId="31" xfId="0" applyFont="1" applyFill="1" applyBorder="1"/>
    <xf numFmtId="0" fontId="48" fillId="0" borderId="0" xfId="0" applyFont="1"/>
    <xf numFmtId="0" fontId="0" fillId="0" borderId="0" xfId="0" applyAlignment="1">
      <alignment horizontal="center"/>
    </xf>
    <xf numFmtId="0" fontId="0" fillId="5" borderId="63" xfId="0" applyFill="1" applyBorder="1"/>
    <xf numFmtId="44" fontId="0" fillId="5" borderId="17" xfId="0" applyNumberFormat="1" applyFill="1" applyBorder="1"/>
    <xf numFmtId="171" fontId="0" fillId="0" borderId="0" xfId="1" applyNumberFormat="1" applyFont="1" applyBorder="1" applyAlignment="1"/>
    <xf numFmtId="171" fontId="0" fillId="0" borderId="16" xfId="1" applyNumberFormat="1" applyFont="1" applyBorder="1" applyAlignment="1"/>
    <xf numFmtId="0" fontId="48" fillId="0" borderId="0" xfId="0" applyFont="1" applyFill="1"/>
    <xf numFmtId="0" fontId="19" fillId="0" borderId="31" xfId="0" applyFont="1" applyFill="1" applyBorder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8" fontId="0" fillId="5" borderId="78" xfId="0" quotePrefix="1" applyNumberFormat="1" applyFill="1" applyBorder="1"/>
    <xf numFmtId="168" fontId="0" fillId="0" borderId="78" xfId="2" quotePrefix="1" applyNumberFormat="1" applyFont="1" applyBorder="1"/>
    <xf numFmtId="43" fontId="0" fillId="0" borderId="0" xfId="1" applyNumberFormat="1" applyFont="1" applyFill="1" applyAlignment="1">
      <alignment horizontal="center"/>
    </xf>
    <xf numFmtId="0" fontId="3" fillId="0" borderId="0" xfId="0" applyFont="1" applyAlignment="1" applyProtection="1">
      <protection locked="0"/>
    </xf>
    <xf numFmtId="0" fontId="0" fillId="0" borderId="0" xfId="0" applyAlignment="1"/>
    <xf numFmtId="0" fontId="4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50" fillId="0" borderId="0" xfId="1" applyNumberFormat="1" applyFont="1" applyFill="1" applyBorder="1" applyAlignment="1">
      <alignment horizontal="center"/>
    </xf>
    <xf numFmtId="0" fontId="27" fillId="0" borderId="9" xfId="0" applyFont="1" applyBorder="1" applyAlignment="1">
      <alignment wrapText="1"/>
    </xf>
    <xf numFmtId="0" fontId="19" fillId="0" borderId="9" xfId="0" applyFont="1" applyBorder="1" applyAlignment="1">
      <alignment horizontal="center" wrapText="1"/>
    </xf>
    <xf numFmtId="168" fontId="44" fillId="0" borderId="0" xfId="5" applyNumberFormat="1" applyFont="1" applyFill="1" applyBorder="1" applyAlignment="1" applyProtection="1">
      <alignment horizontal="center" vertical="center" wrapText="1"/>
    </xf>
    <xf numFmtId="37" fontId="25" fillId="0" borderId="0" xfId="0" applyNumberFormat="1" applyFont="1" applyFill="1" applyBorder="1" applyAlignment="1">
      <alignment horizontal="right"/>
    </xf>
    <xf numFmtId="0" fontId="46" fillId="5" borderId="47" xfId="0" applyFont="1" applyFill="1" applyBorder="1" applyAlignment="1"/>
    <xf numFmtId="0" fontId="46" fillId="5" borderId="48" xfId="0" applyFont="1" applyFill="1" applyBorder="1" applyAlignment="1"/>
    <xf numFmtId="0" fontId="46" fillId="5" borderId="47" xfId="0" applyFont="1" applyFill="1" applyBorder="1"/>
    <xf numFmtId="0" fontId="46" fillId="5" borderId="48" xfId="0" applyFont="1" applyFill="1" applyBorder="1"/>
    <xf numFmtId="0" fontId="47" fillId="5" borderId="48" xfId="0" applyFont="1" applyFill="1" applyBorder="1" applyAlignment="1"/>
    <xf numFmtId="0" fontId="0" fillId="0" borderId="13" xfId="0" applyBorder="1"/>
    <xf numFmtId="172" fontId="0" fillId="0" borderId="0" xfId="0" applyNumberFormat="1" applyFill="1"/>
    <xf numFmtId="0" fontId="71" fillId="0" borderId="0" xfId="0" applyFont="1" applyFill="1"/>
    <xf numFmtId="0" fontId="71" fillId="0" borderId="0" xfId="0" applyFont="1" applyFill="1" applyAlignment="1">
      <alignment horizontal="left"/>
    </xf>
    <xf numFmtId="9" fontId="71" fillId="0" borderId="0" xfId="74" applyFont="1" applyFill="1" applyAlignment="1">
      <alignment horizontal="center"/>
    </xf>
    <xf numFmtId="0" fontId="71" fillId="29" borderId="0" xfId="0" applyFont="1" applyFill="1" applyBorder="1"/>
    <xf numFmtId="0" fontId="72" fillId="0" borderId="0" xfId="0" applyFont="1" applyFill="1" applyBorder="1" applyAlignment="1">
      <alignment horizontal="center" vertical="center" wrapText="1"/>
    </xf>
    <xf numFmtId="0" fontId="71" fillId="0" borderId="53" xfId="0" applyFont="1" applyFill="1" applyBorder="1"/>
    <xf numFmtId="168" fontId="71" fillId="0" borderId="53" xfId="0" applyNumberFormat="1" applyFont="1" applyFill="1" applyBorder="1" applyAlignment="1">
      <alignment horizontal="center"/>
    </xf>
    <xf numFmtId="168" fontId="71" fillId="0" borderId="0" xfId="0" applyNumberFormat="1" applyFont="1" applyFill="1" applyBorder="1" applyAlignment="1">
      <alignment horizontal="center"/>
    </xf>
    <xf numFmtId="168" fontId="71" fillId="4" borderId="0" xfId="0" applyNumberFormat="1" applyFont="1" applyFill="1" applyBorder="1" applyAlignment="1">
      <alignment horizontal="center"/>
    </xf>
    <xf numFmtId="14" fontId="71" fillId="0" borderId="0" xfId="0" applyNumberFormat="1" applyFont="1" applyFill="1" applyAlignment="1">
      <alignment horizontal="left"/>
    </xf>
    <xf numFmtId="168" fontId="72" fillId="0" borderId="77" xfId="0" applyNumberFormat="1" applyFont="1" applyFill="1" applyBorder="1"/>
    <xf numFmtId="0" fontId="71" fillId="0" borderId="0" xfId="0" applyFont="1" applyFill="1" applyAlignment="1">
      <alignment horizontal="right"/>
    </xf>
    <xf numFmtId="176" fontId="71" fillId="0" borderId="0" xfId="0" applyNumberFormat="1" applyFont="1" applyFill="1" applyBorder="1" applyAlignment="1">
      <alignment horizontal="center"/>
    </xf>
    <xf numFmtId="176" fontId="71" fillId="0" borderId="0" xfId="0" applyNumberFormat="1" applyFont="1" applyFill="1" applyAlignment="1">
      <alignment horizontal="center"/>
    </xf>
    <xf numFmtId="168" fontId="71" fillId="0" borderId="0" xfId="0" applyNumberFormat="1" applyFont="1" applyFill="1" applyAlignment="1">
      <alignment horizontal="center"/>
    </xf>
    <xf numFmtId="0" fontId="72" fillId="5" borderId="76" xfId="0" applyFont="1" applyFill="1" applyBorder="1" applyAlignment="1">
      <alignment horizontal="center"/>
    </xf>
    <xf numFmtId="0" fontId="72" fillId="5" borderId="62" xfId="0" applyFont="1" applyFill="1" applyBorder="1" applyAlignment="1">
      <alignment horizontal="center"/>
    </xf>
    <xf numFmtId="176" fontId="71" fillId="0" borderId="0" xfId="0" applyNumberFormat="1" applyFont="1" applyFill="1"/>
    <xf numFmtId="0" fontId="71" fillId="5" borderId="18" xfId="0" applyFont="1" applyFill="1" applyBorder="1"/>
    <xf numFmtId="0" fontId="71" fillId="5" borderId="19" xfId="0" applyFont="1" applyFill="1" applyBorder="1"/>
    <xf numFmtId="168" fontId="71" fillId="0" borderId="0" xfId="0" applyNumberFormat="1" applyFont="1" applyFill="1"/>
    <xf numFmtId="0" fontId="72" fillId="5" borderId="97" xfId="0" applyFont="1" applyFill="1" applyBorder="1" applyAlignment="1">
      <alignment horizontal="center"/>
    </xf>
    <xf numFmtId="168" fontId="71" fillId="5" borderId="53" xfId="0" applyNumberFormat="1" applyFont="1" applyFill="1" applyBorder="1" applyAlignment="1">
      <alignment horizontal="center"/>
    </xf>
    <xf numFmtId="16" fontId="71" fillId="0" borderId="0" xfId="0" applyNumberFormat="1" applyFont="1" applyFill="1" applyAlignment="1">
      <alignment horizontal="left"/>
    </xf>
    <xf numFmtId="168" fontId="0" fillId="5" borderId="78" xfId="0" applyNumberFormat="1" applyFill="1" applyBorder="1" applyAlignment="1"/>
    <xf numFmtId="168" fontId="0" fillId="5" borderId="71" xfId="0" applyNumberFormat="1" applyFill="1" applyBorder="1" applyAlignment="1"/>
    <xf numFmtId="44" fontId="0" fillId="0" borderId="0" xfId="0" applyNumberFormat="1" applyFill="1"/>
    <xf numFmtId="0" fontId="70" fillId="0" borderId="61" xfId="5" applyFont="1" applyFill="1" applyBorder="1" applyAlignment="1" applyProtection="1">
      <alignment vertical="center" wrapText="1"/>
    </xf>
    <xf numFmtId="0" fontId="18" fillId="5" borderId="0" xfId="0" applyFont="1" applyFill="1" applyBorder="1"/>
    <xf numFmtId="0" fontId="18" fillId="0" borderId="0" xfId="0" applyFont="1" applyFill="1" applyBorder="1"/>
    <xf numFmtId="49" fontId="70" fillId="0" borderId="16" xfId="5" applyNumberFormat="1" applyFont="1" applyFill="1" applyBorder="1" applyAlignment="1" applyProtection="1">
      <alignment horizontal="left" vertical="center"/>
    </xf>
    <xf numFmtId="49" fontId="70" fillId="0" borderId="0" xfId="5" applyNumberFormat="1" applyFont="1" applyFill="1" applyBorder="1" applyAlignment="1" applyProtection="1">
      <alignment vertical="center" wrapText="1"/>
    </xf>
    <xf numFmtId="14" fontId="43" fillId="0" borderId="0" xfId="5" applyNumberFormat="1" applyFont="1" applyFill="1" applyBorder="1" applyAlignment="1" applyProtection="1">
      <alignment horizontal="center" wrapText="1"/>
    </xf>
    <xf numFmtId="0" fontId="70" fillId="0" borderId="16" xfId="5" applyFont="1" applyFill="1" applyBorder="1" applyAlignment="1" applyProtection="1">
      <alignment vertical="center" wrapText="1"/>
    </xf>
    <xf numFmtId="0" fontId="70" fillId="0" borderId="0" xfId="5" applyFont="1" applyFill="1" applyBorder="1" applyAlignment="1" applyProtection="1">
      <alignment vertical="center" wrapText="1"/>
    </xf>
    <xf numFmtId="0" fontId="43" fillId="0" borderId="0" xfId="5" applyFont="1" applyFill="1" applyBorder="1" applyAlignment="1" applyProtection="1">
      <alignment vertical="center" wrapText="1"/>
    </xf>
    <xf numFmtId="0" fontId="70" fillId="6" borderId="21" xfId="5" applyFont="1" applyFill="1" applyBorder="1" applyAlignment="1" applyProtection="1">
      <alignment vertical="center" wrapText="1"/>
    </xf>
    <xf numFmtId="0" fontId="18" fillId="0" borderId="0" xfId="5" applyFont="1" applyBorder="1"/>
    <xf numFmtId="0" fontId="70" fillId="6" borderId="79" xfId="5" applyFont="1" applyFill="1" applyBorder="1" applyAlignment="1" applyProtection="1">
      <alignment horizontal="center" vertical="center" wrapText="1"/>
    </xf>
    <xf numFmtId="0" fontId="70" fillId="6" borderId="4" xfId="5" applyFont="1" applyFill="1" applyBorder="1" applyAlignment="1" applyProtection="1">
      <alignment horizontal="center" vertical="center" wrapText="1"/>
    </xf>
    <xf numFmtId="0" fontId="70" fillId="6" borderId="34" xfId="5" applyFont="1" applyFill="1" applyBorder="1" applyAlignment="1" applyProtection="1">
      <alignment horizontal="center" vertical="center" wrapText="1"/>
    </xf>
    <xf numFmtId="0" fontId="70" fillId="6" borderId="65" xfId="5" applyFont="1" applyFill="1" applyBorder="1" applyAlignment="1" applyProtection="1">
      <alignment horizontal="center" vertical="center" wrapText="1"/>
    </xf>
    <xf numFmtId="168" fontId="70" fillId="0" borderId="66" xfId="5" applyNumberFormat="1" applyFont="1" applyFill="1" applyBorder="1" applyAlignment="1" applyProtection="1">
      <alignment horizontal="center" vertical="center" wrapText="1"/>
    </xf>
    <xf numFmtId="0" fontId="70" fillId="2" borderId="104" xfId="5" applyFont="1" applyFill="1" applyBorder="1" applyAlignment="1" applyProtection="1">
      <alignment horizontal="center" vertical="center" wrapText="1"/>
      <protection locked="0"/>
    </xf>
    <xf numFmtId="0" fontId="43" fillId="2" borderId="102" xfId="5" applyFont="1" applyFill="1" applyBorder="1" applyAlignment="1" applyProtection="1">
      <alignment vertical="center" wrapText="1"/>
      <protection locked="0"/>
    </xf>
    <xf numFmtId="0" fontId="43" fillId="2" borderId="103" xfId="5" applyFont="1" applyFill="1" applyBorder="1" applyAlignment="1" applyProtection="1">
      <alignment horizontal="center" vertical="center" wrapText="1"/>
      <protection locked="0"/>
    </xf>
    <xf numFmtId="1" fontId="43" fillId="2" borderId="103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101" xfId="5" applyNumberFormat="1" applyFont="1" applyFill="1" applyBorder="1" applyAlignment="1" applyProtection="1">
      <alignment horizontal="center" vertical="center" wrapText="1"/>
    </xf>
    <xf numFmtId="0" fontId="43" fillId="2" borderId="94" xfId="5" applyFont="1" applyFill="1" applyBorder="1" applyAlignment="1" applyProtection="1">
      <alignment horizontal="center" vertical="center" wrapText="1"/>
      <protection locked="0"/>
    </xf>
    <xf numFmtId="1" fontId="43" fillId="2" borderId="94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92" xfId="5" applyNumberFormat="1" applyFont="1" applyFill="1" applyBorder="1" applyAlignment="1" applyProtection="1">
      <alignment horizontal="center" vertical="center" wrapText="1"/>
    </xf>
    <xf numFmtId="49" fontId="43" fillId="2" borderId="93" xfId="5" applyNumberFormat="1" applyFont="1" applyFill="1" applyBorder="1" applyAlignment="1" applyProtection="1">
      <alignment vertical="center" wrapText="1"/>
      <protection locked="0"/>
    </xf>
    <xf numFmtId="0" fontId="70" fillId="2" borderId="38" xfId="5" applyFont="1" applyFill="1" applyBorder="1" applyAlignment="1" applyProtection="1">
      <alignment horizontal="center" vertical="center" wrapText="1"/>
      <protection locked="0"/>
    </xf>
    <xf numFmtId="0" fontId="43" fillId="2" borderId="68" xfId="5" applyFont="1" applyFill="1" applyBorder="1" applyAlignment="1" applyProtection="1">
      <alignment vertical="center" wrapText="1"/>
      <protection locked="0"/>
    </xf>
    <xf numFmtId="0" fontId="43" fillId="2" borderId="39" xfId="5" applyFont="1" applyFill="1" applyBorder="1" applyAlignment="1" applyProtection="1">
      <alignment horizontal="center" vertical="center" wrapText="1"/>
      <protection locked="0"/>
    </xf>
    <xf numFmtId="1" fontId="43" fillId="2" borderId="39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67" xfId="5" applyNumberFormat="1" applyFont="1" applyFill="1" applyBorder="1" applyAlignment="1" applyProtection="1">
      <alignment horizontal="center" vertical="center" wrapText="1"/>
    </xf>
    <xf numFmtId="0" fontId="44" fillId="0" borderId="54" xfId="5" applyFont="1" applyFill="1" applyBorder="1" applyAlignment="1" applyProtection="1">
      <alignment horizontal="center" vertical="center" wrapText="1"/>
    </xf>
    <xf numFmtId="0" fontId="44" fillId="0" borderId="0" xfId="5" applyFont="1" applyFill="1" applyBorder="1" applyAlignment="1" applyProtection="1">
      <alignment horizontal="center" vertical="center" wrapText="1"/>
    </xf>
    <xf numFmtId="0" fontId="46" fillId="5" borderId="102" xfId="0" applyFont="1" applyFill="1" applyBorder="1"/>
    <xf numFmtId="0" fontId="46" fillId="5" borderId="103" xfId="0" applyFont="1" applyFill="1" applyBorder="1"/>
    <xf numFmtId="44" fontId="46" fillId="5" borderId="103" xfId="2" applyFont="1" applyFill="1" applyBorder="1"/>
    <xf numFmtId="0" fontId="0" fillId="0" borderId="103" xfId="0" applyBorder="1"/>
    <xf numFmtId="0" fontId="70" fillId="6" borderId="54" xfId="5" applyFont="1" applyFill="1" applyBorder="1" applyAlignment="1" applyProtection="1">
      <alignment vertical="center" wrapText="1"/>
    </xf>
    <xf numFmtId="168" fontId="71" fillId="4" borderId="0" xfId="2" applyNumberFormat="1" applyFont="1" applyFill="1" applyBorder="1" applyAlignment="1">
      <alignment horizontal="center"/>
    </xf>
    <xf numFmtId="168" fontId="71" fillId="0" borderId="0" xfId="2" applyNumberFormat="1" applyFont="1" applyFill="1" applyBorder="1" applyAlignment="1">
      <alignment horizontal="center"/>
    </xf>
    <xf numFmtId="0" fontId="79" fillId="5" borderId="47" xfId="0" applyFont="1" applyFill="1" applyBorder="1" applyAlignment="1"/>
    <xf numFmtId="49" fontId="78" fillId="2" borderId="22" xfId="52" applyNumberFormat="1" applyFont="1" applyFill="1" applyBorder="1" applyAlignment="1" applyProtection="1">
      <alignment horizontal="left" shrinkToFit="1"/>
      <protection locked="0"/>
    </xf>
    <xf numFmtId="0" fontId="43" fillId="2" borderId="104" xfId="5" applyFont="1" applyFill="1" applyBorder="1" applyAlignment="1" applyProtection="1">
      <alignment horizontal="center" vertical="center" wrapText="1"/>
      <protection locked="0"/>
    </xf>
    <xf numFmtId="0" fontId="43" fillId="2" borderId="22" xfId="5" applyFont="1" applyFill="1" applyBorder="1" applyAlignment="1" applyProtection="1">
      <alignment vertical="center" wrapText="1"/>
      <protection locked="0"/>
    </xf>
    <xf numFmtId="0" fontId="43" fillId="2" borderId="95" xfId="5" applyFont="1" applyFill="1" applyBorder="1" applyAlignment="1" applyProtection="1">
      <alignment horizontal="center" vertical="center" wrapText="1"/>
      <protection locked="0"/>
    </xf>
    <xf numFmtId="0" fontId="43" fillId="2" borderId="38" xfId="5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/>
    <xf numFmtId="0" fontId="31" fillId="0" borderId="0" xfId="0" applyFont="1" applyFill="1" applyAlignment="1"/>
    <xf numFmtId="0" fontId="0" fillId="0" borderId="0" xfId="0" applyFill="1" applyBorder="1" applyAlignment="1"/>
    <xf numFmtId="168" fontId="29" fillId="0" borderId="0" xfId="0" applyNumberFormat="1" applyFont="1" applyFill="1" applyAlignment="1"/>
    <xf numFmtId="171" fontId="0" fillId="0" borderId="0" xfId="1" applyNumberFormat="1" applyFont="1" applyFill="1" applyBorder="1" applyAlignment="1"/>
    <xf numFmtId="171" fontId="0" fillId="0" borderId="0" xfId="0" applyNumberFormat="1" applyFill="1"/>
    <xf numFmtId="168" fontId="44" fillId="0" borderId="69" xfId="5" applyNumberFormat="1" applyFont="1" applyFill="1" applyBorder="1" applyAlignment="1" applyProtection="1">
      <alignment horizontal="center" vertical="center" wrapText="1"/>
    </xf>
    <xf numFmtId="171" fontId="0" fillId="0" borderId="0" xfId="0" applyNumberFormat="1"/>
    <xf numFmtId="0" fontId="72" fillId="5" borderId="61" xfId="0" applyFont="1" applyFill="1" applyBorder="1" applyAlignment="1">
      <alignment horizontal="center"/>
    </xf>
    <xf numFmtId="0" fontId="10" fillId="2" borderId="104" xfId="5" applyFont="1" applyFill="1" applyBorder="1" applyAlignment="1" applyProtection="1">
      <alignment horizontal="center" vertical="center" wrapText="1"/>
      <protection locked="0"/>
    </xf>
    <xf numFmtId="0" fontId="46" fillId="5" borderId="110" xfId="0" applyNumberFormat="1" applyFont="1" applyFill="1" applyBorder="1"/>
    <xf numFmtId="0" fontId="43" fillId="0" borderId="41" xfId="5" applyFont="1" applyFill="1" applyBorder="1" applyAlignment="1" applyProtection="1">
      <alignment horizontal="right" vertical="center" wrapText="1"/>
    </xf>
    <xf numFmtId="0" fontId="43" fillId="0" borderId="64" xfId="5" applyFont="1" applyFill="1" applyBorder="1" applyAlignment="1" applyProtection="1">
      <alignment horizontal="center" vertical="center" wrapText="1"/>
    </xf>
    <xf numFmtId="14" fontId="43" fillId="0" borderId="64" xfId="5" applyNumberFormat="1" applyFont="1" applyFill="1" applyBorder="1" applyAlignment="1" applyProtection="1">
      <alignment horizontal="center" vertical="center" shrinkToFit="1"/>
    </xf>
    <xf numFmtId="0" fontId="43" fillId="0" borderId="0" xfId="5" applyFont="1" applyFill="1" applyBorder="1" applyAlignment="1" applyProtection="1">
      <alignment vertical="center" wrapText="1"/>
    </xf>
    <xf numFmtId="0" fontId="2" fillId="2" borderId="110" xfId="5" applyFont="1" applyFill="1" applyBorder="1" applyAlignment="1" applyProtection="1">
      <alignment horizontal="center" vertical="center" wrapText="1"/>
      <protection locked="0"/>
    </xf>
    <xf numFmtId="0" fontId="43" fillId="0" borderId="62" xfId="5" applyFont="1" applyFill="1" applyBorder="1" applyAlignment="1" applyProtection="1">
      <alignment horizontal="right" vertical="center" wrapText="1"/>
    </xf>
    <xf numFmtId="0" fontId="43" fillId="0" borderId="63" xfId="5" applyFont="1" applyFill="1" applyBorder="1" applyAlignment="1" applyProtection="1">
      <alignment horizontal="center" vertical="center" wrapText="1"/>
    </xf>
    <xf numFmtId="168" fontId="44" fillId="0" borderId="55" xfId="5" applyNumberFormat="1" applyFont="1" applyFill="1" applyBorder="1" applyAlignment="1" applyProtection="1">
      <alignment horizontal="center" vertical="center" wrapText="1"/>
    </xf>
    <xf numFmtId="1" fontId="2" fillId="2" borderId="110" xfId="5" applyNumberFormat="1" applyFont="1" applyFill="1" applyBorder="1" applyAlignment="1" applyProtection="1">
      <alignment horizontal="center" vertical="center" wrapText="1"/>
      <protection locked="0"/>
    </xf>
    <xf numFmtId="16" fontId="2" fillId="2" borderId="109" xfId="5" applyNumberFormat="1" applyFont="1" applyFill="1" applyBorder="1" applyAlignment="1" applyProtection="1">
      <alignment vertical="center" wrapText="1"/>
      <protection locked="0"/>
    </xf>
    <xf numFmtId="0" fontId="46" fillId="5" borderId="109" xfId="0" applyFont="1" applyFill="1" applyBorder="1"/>
    <xf numFmtId="0" fontId="46" fillId="5" borderId="111" xfId="0" applyFont="1" applyFill="1" applyBorder="1"/>
    <xf numFmtId="0" fontId="46" fillId="5" borderId="110" xfId="0" applyFont="1" applyFill="1" applyBorder="1"/>
    <xf numFmtId="44" fontId="46" fillId="5" borderId="110" xfId="2" applyFont="1" applyFill="1" applyBorder="1"/>
    <xf numFmtId="0" fontId="0" fillId="0" borderId="110" xfId="0" applyBorder="1"/>
    <xf numFmtId="0" fontId="72" fillId="0" borderId="110" xfId="0" applyFont="1" applyFill="1" applyBorder="1" applyAlignment="1">
      <alignment horizontal="center" vertical="center" wrapText="1"/>
    </xf>
    <xf numFmtId="0" fontId="72" fillId="0" borderId="109" xfId="0" applyFont="1" applyFill="1" applyBorder="1" applyAlignment="1">
      <alignment horizontal="center" vertical="center" wrapText="1"/>
    </xf>
    <xf numFmtId="0" fontId="71" fillId="0" borderId="110" xfId="0" applyFont="1" applyFill="1" applyBorder="1"/>
    <xf numFmtId="0" fontId="73" fillId="0" borderId="110" xfId="0" applyFont="1" applyFill="1" applyBorder="1"/>
    <xf numFmtId="0" fontId="71" fillId="5" borderId="110" xfId="0" applyFont="1" applyFill="1" applyBorder="1"/>
    <xf numFmtId="0" fontId="73" fillId="5" borderId="110" xfId="0" applyFont="1" applyFill="1" applyBorder="1"/>
    <xf numFmtId="168" fontId="71" fillId="5" borderId="110" xfId="0" applyNumberFormat="1" applyFont="1" applyFill="1" applyBorder="1" applyAlignment="1">
      <alignment horizontal="center"/>
    </xf>
    <xf numFmtId="0" fontId="73" fillId="3" borderId="110" xfId="0" applyFont="1" applyFill="1" applyBorder="1"/>
    <xf numFmtId="168" fontId="71" fillId="0" borderId="110" xfId="0" applyNumberFormat="1" applyFont="1" applyFill="1" applyBorder="1" applyAlignment="1">
      <alignment horizontal="center"/>
    </xf>
    <xf numFmtId="176" fontId="72" fillId="0" borderId="110" xfId="0" applyNumberFormat="1" applyFont="1" applyFill="1" applyBorder="1"/>
    <xf numFmtId="0" fontId="75" fillId="5" borderId="112" xfId="75" applyFont="1" applyFill="1" applyBorder="1" applyAlignment="1">
      <alignment horizontal="center" vertical="center" wrapText="1"/>
    </xf>
    <xf numFmtId="0" fontId="75" fillId="5" borderId="110" xfId="75" applyFont="1" applyFill="1" applyBorder="1" applyAlignment="1">
      <alignment horizontal="center" vertical="center" wrapText="1"/>
    </xf>
    <xf numFmtId="176" fontId="71" fillId="5" borderId="110" xfId="1" applyNumberFormat="1" applyFont="1" applyFill="1" applyBorder="1"/>
    <xf numFmtId="176" fontId="71" fillId="5" borderId="109" xfId="1" applyNumberFormat="1" applyFont="1" applyFill="1" applyBorder="1"/>
    <xf numFmtId="0" fontId="71" fillId="5" borderId="110" xfId="0" applyFont="1" applyFill="1" applyBorder="1" applyAlignment="1">
      <alignment horizontal="center" vertical="center"/>
    </xf>
    <xf numFmtId="176" fontId="72" fillId="5" borderId="117" xfId="0" applyNumberFormat="1" applyFont="1" applyFill="1" applyBorder="1"/>
    <xf numFmtId="176" fontId="72" fillId="5" borderId="114" xfId="0" applyNumberFormat="1" applyFont="1" applyFill="1" applyBorder="1"/>
    <xf numFmtId="176" fontId="72" fillId="5" borderId="116" xfId="0" applyNumberFormat="1" applyFont="1" applyFill="1" applyBorder="1"/>
    <xf numFmtId="0" fontId="19" fillId="0" borderId="113" xfId="0" applyFont="1" applyBorder="1"/>
    <xf numFmtId="0" fontId="19" fillId="0" borderId="116" xfId="0" applyFont="1" applyFill="1" applyBorder="1"/>
    <xf numFmtId="0" fontId="19" fillId="0" borderId="116" xfId="0" applyFont="1" applyFill="1" applyBorder="1" applyAlignment="1">
      <alignment wrapText="1"/>
    </xf>
    <xf numFmtId="172" fontId="19" fillId="0" borderId="116" xfId="2" applyNumberFormat="1" applyFont="1" applyFill="1" applyBorder="1" applyAlignment="1">
      <alignment wrapText="1"/>
    </xf>
    <xf numFmtId="172" fontId="19" fillId="0" borderId="116" xfId="2" applyNumberFormat="1" applyFont="1" applyBorder="1" applyAlignment="1">
      <alignment wrapText="1"/>
    </xf>
    <xf numFmtId="44" fontId="0" fillId="5" borderId="114" xfId="2" applyFont="1" applyFill="1" applyBorder="1"/>
    <xf numFmtId="44" fontId="0" fillId="5" borderId="115" xfId="0" applyNumberFormat="1" applyFill="1" applyBorder="1"/>
    <xf numFmtId="0" fontId="10" fillId="0" borderId="3" xfId="0" quotePrefix="1" applyFont="1" applyFill="1" applyBorder="1" applyAlignment="1">
      <alignment horizontal="center"/>
    </xf>
    <xf numFmtId="14" fontId="43" fillId="2" borderId="109" xfId="5" applyNumberFormat="1" applyFont="1" applyFill="1" applyBorder="1" applyAlignment="1" applyProtection="1">
      <alignment vertical="center" wrapText="1"/>
      <protection locked="0"/>
    </xf>
    <xf numFmtId="0" fontId="43" fillId="2" borderId="110" xfId="5" applyFont="1" applyFill="1" applyBorder="1" applyAlignment="1" applyProtection="1">
      <alignment horizontal="center" vertical="center" wrapText="1"/>
      <protection locked="0"/>
    </xf>
    <xf numFmtId="1" fontId="43" fillId="2" borderId="110" xfId="5" applyNumberFormat="1" applyFont="1" applyFill="1" applyBorder="1" applyAlignment="1" applyProtection="1">
      <alignment horizontal="center" vertical="center" wrapText="1"/>
      <protection locked="0"/>
    </xf>
    <xf numFmtId="0" fontId="2" fillId="2" borderId="109" xfId="5" applyFont="1" applyFill="1" applyBorder="1" applyAlignment="1" applyProtection="1">
      <alignment vertical="center" wrapText="1"/>
      <protection locked="0"/>
    </xf>
    <xf numFmtId="0" fontId="44" fillId="0" borderId="60" xfId="5" applyFont="1" applyFill="1" applyBorder="1" applyAlignment="1" applyProtection="1">
      <alignment horizontal="center" vertical="center" wrapText="1"/>
    </xf>
    <xf numFmtId="0" fontId="44" fillId="0" borderId="61" xfId="5" applyFont="1" applyFill="1" applyBorder="1" applyAlignment="1" applyProtection="1">
      <alignment horizontal="center" vertical="center" wrapText="1"/>
    </xf>
    <xf numFmtId="168" fontId="44" fillId="0" borderId="105" xfId="5" applyNumberFormat="1" applyFont="1" applyFill="1" applyBorder="1" applyAlignment="1" applyProtection="1">
      <alignment horizontal="center" vertical="center" wrapText="1"/>
    </xf>
    <xf numFmtId="173" fontId="0" fillId="0" borderId="0" xfId="1" applyNumberFormat="1" applyFont="1"/>
    <xf numFmtId="43" fontId="0" fillId="0" borderId="0" xfId="1" applyFont="1"/>
    <xf numFmtId="173" fontId="0" fillId="0" borderId="5" xfId="1" applyNumberFormat="1" applyFont="1" applyBorder="1"/>
    <xf numFmtId="43" fontId="0" fillId="0" borderId="5" xfId="1" applyFont="1" applyBorder="1"/>
    <xf numFmtId="0" fontId="5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4" fontId="51" fillId="0" borderId="0" xfId="0" applyNumberFormat="1" applyFont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52" fillId="0" borderId="110" xfId="0" applyFont="1" applyBorder="1"/>
    <xf numFmtId="0" fontId="51" fillId="0" borderId="110" xfId="0" applyFont="1" applyBorder="1"/>
    <xf numFmtId="0" fontId="51" fillId="0" borderId="110" xfId="0" applyFont="1" applyBorder="1" applyAlignment="1">
      <alignment horizontal="center"/>
    </xf>
    <xf numFmtId="173" fontId="51" fillId="0" borderId="110" xfId="1" applyNumberFormat="1" applyFont="1" applyBorder="1"/>
    <xf numFmtId="43" fontId="51" fillId="0" borderId="110" xfId="1" applyFont="1" applyBorder="1"/>
    <xf numFmtId="173" fontId="51" fillId="0" borderId="110" xfId="1" applyNumberFormat="1" applyFont="1" applyBorder="1" applyAlignment="1">
      <alignment horizontal="center"/>
    </xf>
    <xf numFmtId="43" fontId="51" fillId="0" borderId="110" xfId="1" applyFont="1" applyBorder="1" applyAlignment="1">
      <alignment horizontal="center"/>
    </xf>
    <xf numFmtId="0" fontId="51" fillId="0" borderId="110" xfId="0" applyFont="1" applyBorder="1" applyAlignment="1">
      <alignment horizontal="left"/>
    </xf>
    <xf numFmtId="43" fontId="52" fillId="0" borderId="110" xfId="1" applyFont="1" applyBorder="1"/>
    <xf numFmtId="0" fontId="51" fillId="0" borderId="0" xfId="0" applyFont="1" applyAlignment="1">
      <alignment horizontal="center"/>
    </xf>
    <xf numFmtId="173" fontId="51" fillId="0" borderId="0" xfId="1" applyNumberFormat="1" applyFont="1"/>
    <xf numFmtId="43" fontId="51" fillId="0" borderId="0" xfId="1" applyFont="1"/>
    <xf numFmtId="0" fontId="0" fillId="5" borderId="0" xfId="0" applyFont="1" applyFill="1"/>
    <xf numFmtId="0" fontId="44" fillId="0" borderId="69" xfId="5" applyFont="1" applyFill="1" applyBorder="1" applyAlignment="1" applyProtection="1">
      <alignment horizontal="center" vertical="center" wrapText="1"/>
    </xf>
    <xf numFmtId="171" fontId="0" fillId="0" borderId="10" xfId="1" applyNumberFormat="1" applyFont="1" applyFill="1" applyBorder="1" applyAlignment="1"/>
    <xf numFmtId="0" fontId="45" fillId="5" borderId="3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44" fillId="0" borderId="69" xfId="5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4" fontId="2" fillId="2" borderId="109" xfId="5" applyNumberFormat="1" applyFont="1" applyFill="1" applyBorder="1" applyAlignment="1" applyProtection="1">
      <alignment vertical="center" wrapText="1"/>
      <protection locked="0"/>
    </xf>
    <xf numFmtId="49" fontId="2" fillId="2" borderId="109" xfId="5" applyNumberFormat="1" applyFont="1" applyFill="1" applyBorder="1" applyAlignment="1" applyProtection="1">
      <alignment vertical="center" wrapText="1"/>
      <protection locked="0"/>
    </xf>
    <xf numFmtId="0" fontId="44" fillId="0" borderId="69" xfId="5" applyFont="1" applyFill="1" applyBorder="1" applyAlignment="1" applyProtection="1">
      <alignment horizontal="center" vertical="center" wrapText="1"/>
    </xf>
    <xf numFmtId="0" fontId="72" fillId="5" borderId="105" xfId="0" applyFont="1" applyFill="1" applyBorder="1" applyAlignment="1">
      <alignment horizontal="center"/>
    </xf>
    <xf numFmtId="168" fontId="71" fillId="5" borderId="64" xfId="1" applyNumberFormat="1" applyFont="1" applyFill="1" applyBorder="1"/>
    <xf numFmtId="176" fontId="72" fillId="5" borderId="115" xfId="0" applyNumberFormat="1" applyFont="1" applyFill="1" applyBorder="1"/>
    <xf numFmtId="0" fontId="43" fillId="2" borderId="118" xfId="5" applyFont="1" applyFill="1" applyBorder="1" applyAlignment="1" applyProtection="1">
      <alignment vertical="top" wrapText="1"/>
      <protection locked="0"/>
    </xf>
    <xf numFmtId="0" fontId="70" fillId="2" borderId="51" xfId="5" applyFont="1" applyFill="1" applyBorder="1" applyAlignment="1" applyProtection="1">
      <alignment horizontal="center" vertical="center" wrapText="1"/>
      <protection locked="0"/>
    </xf>
    <xf numFmtId="0" fontId="43" fillId="2" borderId="118" xfId="5" applyFont="1" applyFill="1" applyBorder="1" applyAlignment="1" applyProtection="1">
      <alignment horizontal="center" vertical="center" wrapText="1"/>
      <protection locked="0"/>
    </xf>
    <xf numFmtId="1" fontId="43" fillId="2" borderId="118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119" xfId="5" applyNumberFormat="1" applyFont="1" applyFill="1" applyBorder="1" applyAlignment="1" applyProtection="1">
      <alignment horizontal="center" vertical="center" wrapText="1"/>
    </xf>
    <xf numFmtId="0" fontId="70" fillId="2" borderId="120" xfId="5" applyFont="1" applyFill="1" applyBorder="1" applyAlignment="1" applyProtection="1">
      <alignment horizontal="center" vertical="center" wrapText="1"/>
      <protection locked="0"/>
    </xf>
    <xf numFmtId="0" fontId="43" fillId="2" borderId="114" xfId="5" applyFont="1" applyFill="1" applyBorder="1" applyAlignment="1" applyProtection="1">
      <alignment horizontal="center" vertical="center" wrapText="1"/>
      <protection locked="0"/>
    </xf>
    <xf numFmtId="168" fontId="43" fillId="0" borderId="115" xfId="5" applyNumberFormat="1" applyFont="1" applyFill="1" applyBorder="1" applyAlignment="1" applyProtection="1">
      <alignment horizontal="center" vertical="center" wrapText="1"/>
    </xf>
    <xf numFmtId="0" fontId="43" fillId="2" borderId="116" xfId="5" applyFont="1" applyFill="1" applyBorder="1" applyAlignment="1" applyProtection="1">
      <alignment vertical="top" wrapText="1"/>
      <protection locked="0"/>
    </xf>
    <xf numFmtId="1" fontId="43" fillId="2" borderId="40" xfId="5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Font="1"/>
    <xf numFmtId="0" fontId="30" fillId="0" borderId="0" xfId="0" applyFont="1"/>
    <xf numFmtId="173" fontId="30" fillId="0" borderId="0" xfId="1" applyNumberFormat="1" applyFont="1"/>
    <xf numFmtId="43" fontId="30" fillId="0" borderId="0" xfId="1" applyFont="1"/>
    <xf numFmtId="14" fontId="81" fillId="0" borderId="0" xfId="0" applyNumberFormat="1" applyFont="1"/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173" fontId="30" fillId="0" borderId="5" xfId="1" applyNumberFormat="1" applyFont="1" applyBorder="1"/>
    <xf numFmtId="43" fontId="30" fillId="0" borderId="5" xfId="1" applyFont="1" applyBorder="1"/>
    <xf numFmtId="0" fontId="82" fillId="0" borderId="110" xfId="0" applyFont="1" applyBorder="1"/>
    <xf numFmtId="0" fontId="81" fillId="0" borderId="110" xfId="0" applyFont="1" applyBorder="1"/>
    <xf numFmtId="0" fontId="81" fillId="0" borderId="110" xfId="0" applyFont="1" applyBorder="1" applyAlignment="1">
      <alignment horizontal="center"/>
    </xf>
    <xf numFmtId="173" fontId="81" fillId="0" borderId="110" xfId="1" applyNumberFormat="1" applyFont="1" applyBorder="1"/>
    <xf numFmtId="43" fontId="81" fillId="0" borderId="110" xfId="1" applyFont="1" applyBorder="1"/>
    <xf numFmtId="173" fontId="81" fillId="0" borderId="110" xfId="1" applyNumberFormat="1" applyFont="1" applyBorder="1" applyAlignment="1">
      <alignment horizontal="center"/>
    </xf>
    <xf numFmtId="43" fontId="81" fillId="0" borderId="110" xfId="1" applyFont="1" applyBorder="1" applyAlignment="1">
      <alignment horizontal="center"/>
    </xf>
    <xf numFmtId="0" fontId="81" fillId="0" borderId="110" xfId="0" applyFont="1" applyBorder="1" applyAlignment="1">
      <alignment horizontal="left"/>
    </xf>
    <xf numFmtId="43" fontId="82" fillId="0" borderId="110" xfId="1" applyFont="1" applyBorder="1"/>
    <xf numFmtId="0" fontId="81" fillId="0" borderId="0" xfId="0" applyFont="1" applyAlignment="1">
      <alignment horizontal="center"/>
    </xf>
    <xf numFmtId="173" fontId="81" fillId="0" borderId="0" xfId="1" applyNumberFormat="1" applyFont="1"/>
    <xf numFmtId="43" fontId="81" fillId="0" borderId="0" xfId="1" applyFont="1"/>
    <xf numFmtId="172" fontId="0" fillId="0" borderId="0" xfId="0" applyNumberFormat="1" applyFill="1" applyBorder="1"/>
    <xf numFmtId="172" fontId="0" fillId="0" borderId="77" xfId="2" applyNumberFormat="1" applyFont="1" applyFill="1" applyBorder="1"/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right"/>
    </xf>
    <xf numFmtId="171" fontId="0" fillId="0" borderId="27" xfId="1" applyNumberFormat="1" applyFont="1" applyBorder="1" applyAlignment="1"/>
    <xf numFmtId="171" fontId="0" fillId="0" borderId="11" xfId="1" applyNumberFormat="1" applyFont="1" applyBorder="1" applyAlignment="1"/>
    <xf numFmtId="0" fontId="0" fillId="0" borderId="0" xfId="0" applyFill="1" applyBorder="1" applyAlignment="1">
      <alignment vertical="center"/>
    </xf>
    <xf numFmtId="0" fontId="21" fillId="0" borderId="0" xfId="0" applyFont="1" applyFill="1" applyBorder="1"/>
    <xf numFmtId="49" fontId="70" fillId="0" borderId="60" xfId="5" applyNumberFormat="1" applyFont="1" applyFill="1" applyBorder="1" applyAlignment="1" applyProtection="1">
      <alignment horizontal="left" vertical="center" shrinkToFit="1"/>
    </xf>
    <xf numFmtId="0" fontId="70" fillId="0" borderId="61" xfId="5" applyFont="1" applyFill="1" applyBorder="1" applyAlignment="1" applyProtection="1">
      <alignment horizontal="left" vertical="center" shrinkToFit="1"/>
    </xf>
    <xf numFmtId="0" fontId="44" fillId="0" borderId="69" xfId="5" applyFont="1" applyFill="1" applyBorder="1" applyAlignment="1" applyProtection="1">
      <alignment horizontal="center" vertical="center" wrapText="1"/>
    </xf>
    <xf numFmtId="168" fontId="0" fillId="0" borderId="23" xfId="0" applyNumberFormat="1" applyFill="1" applyBorder="1" applyAlignment="1"/>
    <xf numFmtId="0" fontId="5" fillId="6" borderId="122" xfId="5" applyFont="1" applyFill="1" applyBorder="1" applyAlignment="1" applyProtection="1">
      <alignment horizontal="center" vertical="center" wrapText="1"/>
    </xf>
    <xf numFmtId="0" fontId="5" fillId="2" borderId="105" xfId="5" applyFont="1" applyFill="1" applyBorder="1" applyAlignment="1" applyProtection="1">
      <alignment vertical="center" wrapText="1"/>
      <protection locked="0"/>
    </xf>
    <xf numFmtId="0" fontId="18" fillId="0" borderId="0" xfId="5" applyBorder="1"/>
    <xf numFmtId="0" fontId="10" fillId="6" borderId="21" xfId="5" applyFont="1" applyFill="1" applyBorder="1" applyAlignment="1" applyProtection="1">
      <alignment horizontal="center" vertical="center" wrapText="1"/>
    </xf>
    <xf numFmtId="14" fontId="10" fillId="2" borderId="22" xfId="5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5" applyFont="1" applyFill="1" applyBorder="1" applyAlignment="1" applyProtection="1">
      <alignment horizontal="center" vertical="center" wrapText="1"/>
    </xf>
    <xf numFmtId="0" fontId="10" fillId="6" borderId="21" xfId="5" applyFont="1" applyFill="1" applyBorder="1" applyAlignment="1" applyProtection="1">
      <alignment horizontal="right" vertical="center" wrapText="1"/>
    </xf>
    <xf numFmtId="0" fontId="10" fillId="2" borderId="22" xfId="5" applyFont="1" applyFill="1" applyBorder="1" applyAlignment="1" applyProtection="1">
      <alignment horizontal="center" vertical="center" wrapText="1"/>
      <protection locked="0"/>
    </xf>
    <xf numFmtId="0" fontId="10" fillId="6" borderId="33" xfId="5" applyFont="1" applyFill="1" applyBorder="1" applyAlignment="1" applyProtection="1">
      <alignment horizontal="center" vertical="center" wrapText="1"/>
    </xf>
    <xf numFmtId="0" fontId="10" fillId="6" borderId="4" xfId="5" applyFont="1" applyFill="1" applyBorder="1" applyAlignment="1" applyProtection="1">
      <alignment horizontal="center" vertical="center" wrapText="1"/>
    </xf>
    <xf numFmtId="0" fontId="10" fillId="6" borderId="34" xfId="5" applyFont="1" applyFill="1" applyBorder="1" applyAlignment="1" applyProtection="1">
      <alignment horizontal="center" vertical="center" wrapText="1"/>
    </xf>
    <xf numFmtId="0" fontId="10" fillId="6" borderId="65" xfId="5" applyFont="1" applyFill="1" applyBorder="1" applyAlignment="1" applyProtection="1">
      <alignment horizontal="center" vertical="center" wrapText="1"/>
    </xf>
    <xf numFmtId="168" fontId="10" fillId="0" borderId="66" xfId="5" applyNumberFormat="1" applyFont="1" applyFill="1" applyBorder="1" applyAlignment="1" applyProtection="1">
      <alignment horizontal="center" vertical="center" wrapText="1"/>
    </xf>
    <xf numFmtId="168" fontId="2" fillId="0" borderId="101" xfId="5" applyNumberFormat="1" applyFont="1" applyFill="1" applyBorder="1" applyAlignment="1" applyProtection="1">
      <alignment horizontal="center" vertical="center" wrapText="1"/>
    </xf>
    <xf numFmtId="0" fontId="21" fillId="0" borderId="0" xfId="5" applyFont="1" applyFill="1" applyBorder="1"/>
    <xf numFmtId="0" fontId="43" fillId="0" borderId="0" xfId="5" applyFont="1" applyFill="1" applyBorder="1" applyAlignment="1" applyProtection="1">
      <alignment horizontal="right" vertical="center" wrapText="1"/>
    </xf>
    <xf numFmtId="0" fontId="43" fillId="0" borderId="0" xfId="5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/>
    </xf>
    <xf numFmtId="0" fontId="10" fillId="0" borderId="0" xfId="5" applyFont="1" applyFill="1" applyBorder="1" applyAlignment="1" applyProtection="1">
      <alignment horizontal="center" vertical="center" wrapText="1"/>
      <protection locked="0"/>
    </xf>
    <xf numFmtId="14" fontId="43" fillId="0" borderId="0" xfId="5" applyNumberFormat="1" applyFont="1" applyFill="1" applyBorder="1" applyAlignment="1" applyProtection="1">
      <alignment horizontal="center" vertical="center" shrinkToFit="1"/>
    </xf>
    <xf numFmtId="0" fontId="70" fillId="0" borderId="0" xfId="5" applyFont="1" applyFill="1" applyBorder="1" applyAlignment="1" applyProtection="1">
      <alignment horizontal="center" vertical="center" wrapText="1"/>
    </xf>
    <xf numFmtId="168" fontId="70" fillId="0" borderId="0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vertical="center" wrapText="1"/>
      <protection locked="0"/>
    </xf>
    <xf numFmtId="0" fontId="2" fillId="0" borderId="0" xfId="5" applyFont="1" applyFill="1" applyBorder="1" applyAlignment="1" applyProtection="1">
      <alignment horizontal="center" vertical="center" wrapText="1"/>
      <protection locked="0"/>
    </xf>
    <xf numFmtId="1" fontId="2" fillId="0" borderId="0" xfId="5" applyNumberFormat="1" applyFont="1" applyFill="1" applyBorder="1" applyAlignment="1" applyProtection="1">
      <alignment horizontal="center" vertical="center" wrapText="1"/>
      <protection locked="0"/>
    </xf>
    <xf numFmtId="168" fontId="2" fillId="0" borderId="0" xfId="5" applyNumberFormat="1" applyFont="1" applyFill="1" applyBorder="1" applyAlignment="1" applyProtection="1">
      <alignment horizontal="center" vertical="center" wrapText="1"/>
    </xf>
    <xf numFmtId="14" fontId="2" fillId="0" borderId="0" xfId="5" applyNumberFormat="1" applyFont="1" applyFill="1" applyBorder="1" applyAlignment="1" applyProtection="1">
      <alignment vertical="center" wrapText="1"/>
      <protection locked="0"/>
    </xf>
    <xf numFmtId="0" fontId="43" fillId="0" borderId="0" xfId="5" applyFont="1" applyFill="1" applyBorder="1" applyAlignment="1" applyProtection="1">
      <alignment horizontal="center" vertical="center" wrapText="1"/>
      <protection locked="0"/>
    </xf>
    <xf numFmtId="168" fontId="43" fillId="0" borderId="0" xfId="5" applyNumberFormat="1" applyFont="1" applyFill="1" applyBorder="1" applyAlignment="1" applyProtection="1">
      <alignment horizontal="center" vertical="center" wrapText="1"/>
    </xf>
    <xf numFmtId="0" fontId="70" fillId="0" borderId="0" xfId="5" applyFont="1" applyFill="1" applyBorder="1" applyAlignment="1" applyProtection="1">
      <alignment horizontal="center" vertical="center" wrapText="1"/>
      <protection locked="0"/>
    </xf>
    <xf numFmtId="0" fontId="43" fillId="0" borderId="0" xfId="5" applyFont="1" applyFill="1" applyBorder="1" applyAlignment="1" applyProtection="1">
      <alignment vertical="center" wrapText="1"/>
      <protection locked="0"/>
    </xf>
    <xf numFmtId="1" fontId="43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5" applyFont="1" applyFill="1" applyBorder="1" applyAlignment="1" applyProtection="1">
      <alignment vertical="center" wrapText="1"/>
    </xf>
    <xf numFmtId="168" fontId="0" fillId="0" borderId="72" xfId="0" applyNumberFormat="1" applyFill="1" applyBorder="1" applyAlignment="1"/>
    <xf numFmtId="0" fontId="45" fillId="0" borderId="31" xfId="0" applyFont="1" applyFill="1" applyBorder="1" applyAlignment="1">
      <alignment horizontal="center" vertical="center" wrapText="1"/>
    </xf>
    <xf numFmtId="0" fontId="46" fillId="5" borderId="111" xfId="0" applyFont="1" applyFill="1" applyBorder="1" applyAlignment="1">
      <alignment horizontal="left"/>
    </xf>
    <xf numFmtId="0" fontId="44" fillId="0" borderId="69" xfId="5" applyFont="1" applyFill="1" applyBorder="1" applyAlignment="1" applyProtection="1">
      <alignment horizontal="center" vertical="center" wrapText="1"/>
    </xf>
    <xf numFmtId="168" fontId="0" fillId="0" borderId="110" xfId="0" applyNumberFormat="1" applyBorder="1"/>
    <xf numFmtId="168" fontId="0" fillId="31" borderId="23" xfId="0" applyNumberFormat="1" applyFill="1" applyBorder="1" applyAlignment="1"/>
    <xf numFmtId="44" fontId="25" fillId="4" borderId="17" xfId="2" applyFont="1" applyFill="1" applyBorder="1" applyProtection="1"/>
    <xf numFmtId="0" fontId="0" fillId="0" borderId="0" xfId="0" quotePrefix="1" applyFill="1" applyBorder="1" applyAlignment="1">
      <alignment vertical="center"/>
    </xf>
    <xf numFmtId="0" fontId="72" fillId="5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ill="1" applyAlignment="1">
      <alignment vertical="center"/>
    </xf>
    <xf numFmtId="0" fontId="0" fillId="31" borderId="0" xfId="0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5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4" borderId="0" xfId="0" applyFill="1"/>
    <xf numFmtId="44" fontId="0" fillId="32" borderId="0" xfId="0" applyNumberFormat="1" applyFill="1"/>
    <xf numFmtId="44" fontId="0" fillId="31" borderId="0" xfId="0" applyNumberFormat="1" applyFill="1"/>
    <xf numFmtId="44" fontId="0" fillId="4" borderId="0" xfId="0" applyNumberFormat="1" applyFill="1"/>
    <xf numFmtId="44" fontId="19" fillId="32" borderId="0" xfId="0" applyNumberFormat="1" applyFont="1" applyFill="1"/>
    <xf numFmtId="44" fontId="19" fillId="31" borderId="0" xfId="0" applyNumberFormat="1" applyFont="1" applyFill="1"/>
    <xf numFmtId="44" fontId="0" fillId="0" borderId="51" xfId="0" applyNumberFormat="1" applyFill="1" applyBorder="1"/>
    <xf numFmtId="44" fontId="0" fillId="32" borderId="51" xfId="0" applyNumberFormat="1" applyFill="1" applyBorder="1"/>
    <xf numFmtId="44" fontId="0" fillId="31" borderId="51" xfId="0" applyNumberFormat="1" applyFill="1" applyBorder="1"/>
    <xf numFmtId="44" fontId="0" fillId="4" borderId="2" xfId="0" applyNumberFormat="1" applyFill="1" applyBorder="1"/>
    <xf numFmtId="2" fontId="0" fillId="0" borderId="0" xfId="0" applyNumberFormat="1" applyBorder="1"/>
    <xf numFmtId="0" fontId="71" fillId="35" borderId="0" xfId="0" applyFont="1" applyFill="1"/>
    <xf numFmtId="0" fontId="72" fillId="0" borderId="110" xfId="0" applyFont="1" applyFill="1" applyBorder="1" applyAlignment="1">
      <alignment horizontal="center" vertical="center"/>
    </xf>
    <xf numFmtId="168" fontId="72" fillId="30" borderId="110" xfId="0" applyNumberFormat="1" applyFont="1" applyFill="1" applyBorder="1" applyAlignment="1">
      <alignment horizontal="center" vertical="center"/>
    </xf>
    <xf numFmtId="175" fontId="71" fillId="0" borderId="0" xfId="0" applyNumberFormat="1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4" borderId="0" xfId="0" applyFont="1" applyFill="1"/>
    <xf numFmtId="0" fontId="72" fillId="5" borderId="123" xfId="0" applyFont="1" applyFill="1" applyBorder="1" applyAlignment="1">
      <alignment horizontal="center"/>
    </xf>
    <xf numFmtId="176" fontId="71" fillId="5" borderId="64" xfId="1" applyNumberFormat="1" applyFont="1" applyFill="1" applyBorder="1"/>
    <xf numFmtId="168" fontId="71" fillId="5" borderId="101" xfId="1" applyNumberFormat="1" applyFont="1" applyFill="1" applyBorder="1"/>
    <xf numFmtId="176" fontId="72" fillId="5" borderId="124" xfId="0" applyNumberFormat="1" applyFont="1" applyFill="1" applyBorder="1"/>
    <xf numFmtId="176" fontId="72" fillId="5" borderId="125" xfId="0" applyNumberFormat="1" applyFont="1" applyFill="1" applyBorder="1"/>
    <xf numFmtId="0" fontId="71" fillId="0" borderId="0" xfId="0" applyFont="1" applyFill="1" applyBorder="1"/>
    <xf numFmtId="49" fontId="70" fillId="0" borderId="60" xfId="5" applyNumberFormat="1" applyFont="1" applyFill="1" applyBorder="1" applyAlignment="1" applyProtection="1">
      <alignment horizontal="left" vertical="center" shrinkToFit="1"/>
    </xf>
    <xf numFmtId="0" fontId="70" fillId="0" borderId="61" xfId="5" applyFont="1" applyFill="1" applyBorder="1" applyAlignment="1" applyProtection="1">
      <alignment horizontal="left" vertical="center" shrinkToFit="1"/>
    </xf>
    <xf numFmtId="0" fontId="44" fillId="0" borderId="69" xfId="5" applyFont="1" applyFill="1" applyBorder="1" applyAlignment="1" applyProtection="1">
      <alignment horizontal="center" vertical="center" wrapText="1"/>
    </xf>
    <xf numFmtId="0" fontId="10" fillId="2" borderId="109" xfId="5" applyFont="1" applyFill="1" applyBorder="1" applyAlignment="1" applyProtection="1">
      <alignment vertical="center" wrapText="1"/>
      <protection locked="0"/>
    </xf>
    <xf numFmtId="0" fontId="10" fillId="2" borderId="110" xfId="5" applyFont="1" applyFill="1" applyBorder="1" applyAlignment="1" applyProtection="1">
      <alignment horizontal="center" vertical="center" wrapText="1"/>
      <protection locked="0"/>
    </xf>
    <xf numFmtId="1" fontId="10" fillId="2" borderId="110" xfId="5" applyNumberFormat="1" applyFont="1" applyFill="1" applyBorder="1" applyAlignment="1" applyProtection="1">
      <alignment horizontal="center" vertical="center" wrapText="1"/>
      <protection locked="0"/>
    </xf>
    <xf numFmtId="14" fontId="10" fillId="2" borderId="109" xfId="5" applyNumberFormat="1" applyFont="1" applyFill="1" applyBorder="1" applyAlignment="1" applyProtection="1">
      <alignment vertical="center" wrapText="1"/>
      <protection locked="0"/>
    </xf>
    <xf numFmtId="0" fontId="43" fillId="0" borderId="97" xfId="5" applyFont="1" applyFill="1" applyBorder="1" applyAlignment="1" applyProtection="1">
      <alignment horizontal="center" vertical="center" wrapText="1"/>
    </xf>
    <xf numFmtId="0" fontId="43" fillId="0" borderId="111" xfId="5" applyFont="1" applyFill="1" applyBorder="1" applyAlignment="1" applyProtection="1">
      <alignment horizontal="center" vertical="center" wrapText="1"/>
    </xf>
    <xf numFmtId="14" fontId="43" fillId="0" borderId="111" xfId="5" applyNumberFormat="1" applyFont="1" applyFill="1" applyBorder="1" applyAlignment="1" applyProtection="1">
      <alignment horizontal="center" vertical="center" shrinkToFit="1"/>
    </xf>
    <xf numFmtId="168" fontId="70" fillId="0" borderId="33" xfId="5" applyNumberFormat="1" applyFont="1" applyFill="1" applyBorder="1" applyAlignment="1" applyProtection="1">
      <alignment horizontal="center" vertical="center" wrapText="1"/>
    </xf>
    <xf numFmtId="168" fontId="43" fillId="0" borderId="112" xfId="5" applyNumberFormat="1" applyFont="1" applyFill="1" applyBorder="1" applyAlignment="1" applyProtection="1">
      <alignment horizontal="center" vertical="center" wrapText="1"/>
    </xf>
    <xf numFmtId="168" fontId="44" fillId="0" borderId="29" xfId="5" applyNumberFormat="1" applyFont="1" applyFill="1" applyBorder="1" applyAlignment="1" applyProtection="1">
      <alignment horizontal="center" vertical="center" wrapText="1"/>
    </xf>
    <xf numFmtId="0" fontId="18" fillId="0" borderId="43" xfId="0" applyFont="1" applyFill="1" applyBorder="1"/>
    <xf numFmtId="14" fontId="0" fillId="0" borderId="0" xfId="0" applyNumberFormat="1" applyFont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44" fillId="0" borderId="0" xfId="5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176" fontId="72" fillId="0" borderId="109" xfId="0" applyNumberFormat="1" applyFont="1" applyFill="1" applyBorder="1"/>
    <xf numFmtId="176" fontId="72" fillId="0" borderId="41" xfId="0" applyNumberFormat="1" applyFont="1" applyFill="1" applyBorder="1"/>
    <xf numFmtId="0" fontId="70" fillId="2" borderId="16" xfId="5" applyFont="1" applyFill="1" applyBorder="1" applyAlignment="1" applyProtection="1">
      <alignment horizontal="center" vertical="center" wrapText="1"/>
      <protection locked="0"/>
    </xf>
    <xf numFmtId="0" fontId="43" fillId="2" borderId="0" xfId="5" applyFont="1" applyFill="1" applyBorder="1" applyAlignment="1" applyProtection="1">
      <alignment vertical="center" wrapText="1"/>
      <protection locked="0"/>
    </xf>
    <xf numFmtId="0" fontId="43" fillId="2" borderId="0" xfId="5" applyFont="1" applyFill="1" applyBorder="1" applyAlignment="1" applyProtection="1">
      <alignment horizontal="center" vertical="center" wrapText="1"/>
      <protection locked="0"/>
    </xf>
    <xf numFmtId="1" fontId="43" fillId="2" borderId="0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17" xfId="5" applyNumberFormat="1" applyFont="1" applyFill="1" applyBorder="1" applyAlignment="1" applyProtection="1">
      <alignment horizontal="center" vertical="center" wrapText="1"/>
    </xf>
    <xf numFmtId="0" fontId="10" fillId="2" borderId="16" xfId="5" applyFont="1" applyFill="1" applyBorder="1" applyAlignment="1" applyProtection="1">
      <alignment horizontal="center" vertical="center" wrapText="1"/>
      <protection locked="0"/>
    </xf>
    <xf numFmtId="14" fontId="2" fillId="2" borderId="0" xfId="5" applyNumberFormat="1" applyFont="1" applyFill="1" applyBorder="1" applyAlignment="1" applyProtection="1">
      <alignment vertical="center" wrapText="1"/>
      <protection locked="0"/>
    </xf>
    <xf numFmtId="0" fontId="2" fillId="2" borderId="0" xfId="5" applyFont="1" applyFill="1" applyBorder="1" applyAlignment="1" applyProtection="1">
      <alignment horizontal="center" vertical="center" wrapText="1"/>
      <protection locked="0"/>
    </xf>
    <xf numFmtId="1" fontId="2" fillId="2" borderId="0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118" xfId="5" applyFont="1" applyFill="1" applyBorder="1" applyAlignment="1" applyProtection="1">
      <alignment vertical="top" wrapText="1"/>
      <protection locked="0"/>
    </xf>
    <xf numFmtId="0" fontId="85" fillId="2" borderId="110" xfId="5" applyFont="1" applyFill="1" applyBorder="1" applyAlignment="1" applyProtection="1">
      <alignment horizontal="center" vertical="center" wrapText="1"/>
      <protection locked="0"/>
    </xf>
    <xf numFmtId="0" fontId="86" fillId="2" borderId="110" xfId="5" applyFont="1" applyFill="1" applyBorder="1" applyAlignment="1" applyProtection="1">
      <alignment horizontal="center" vertical="center" wrapText="1"/>
      <protection locked="0"/>
    </xf>
    <xf numFmtId="49" fontId="70" fillId="0" borderId="16" xfId="5" applyNumberFormat="1" applyFont="1" applyFill="1" applyBorder="1" applyAlignment="1" applyProtection="1">
      <alignment horizontal="left" vertical="center" shrinkToFit="1"/>
    </xf>
    <xf numFmtId="0" fontId="43" fillId="0" borderId="5" xfId="5" applyFont="1" applyFill="1" applyBorder="1" applyAlignment="1" applyProtection="1">
      <alignment horizontal="right" vertical="center" wrapText="1"/>
    </xf>
    <xf numFmtId="0" fontId="43" fillId="0" borderId="30" xfId="5" applyFont="1" applyFill="1" applyBorder="1" applyAlignment="1" applyProtection="1">
      <alignment horizontal="center" vertical="center" wrapText="1"/>
    </xf>
    <xf numFmtId="0" fontId="43" fillId="2" borderId="2" xfId="5" applyFont="1" applyFill="1" applyBorder="1" applyAlignment="1" applyProtection="1">
      <alignment horizontal="center" vertical="center" wrapText="1"/>
      <protection locked="0"/>
    </xf>
    <xf numFmtId="1" fontId="43" fillId="2" borderId="1" xfId="5" applyNumberFormat="1" applyFont="1" applyFill="1" applyBorder="1" applyAlignment="1" applyProtection="1">
      <alignment horizontal="center" vertical="center" wrapText="1"/>
      <protection locked="0"/>
    </xf>
    <xf numFmtId="168" fontId="43" fillId="0" borderId="52" xfId="5" applyNumberFormat="1" applyFont="1" applyFill="1" applyBorder="1" applyAlignment="1" applyProtection="1">
      <alignment horizontal="center" vertical="center" wrapText="1"/>
    </xf>
    <xf numFmtId="172" fontId="19" fillId="0" borderId="117" xfId="2" applyNumberFormat="1" applyFont="1" applyFill="1" applyBorder="1" applyAlignment="1">
      <alignment wrapText="1"/>
    </xf>
    <xf numFmtId="177" fontId="0" fillId="0" borderId="75" xfId="0" applyNumberFormat="1" applyFill="1" applyBorder="1"/>
    <xf numFmtId="172" fontId="0" fillId="0" borderId="42" xfId="2" applyNumberFormat="1" applyFont="1" applyFill="1" applyBorder="1"/>
    <xf numFmtId="172" fontId="0" fillId="0" borderId="0" xfId="0" applyNumberFormat="1"/>
    <xf numFmtId="0" fontId="0" fillId="5" borderId="63" xfId="0" applyFill="1" applyBorder="1" applyAlignment="1"/>
    <xf numFmtId="44" fontId="0" fillId="5" borderId="17" xfId="2" applyFont="1" applyFill="1" applyBorder="1"/>
    <xf numFmtId="177" fontId="0" fillId="5" borderId="75" xfId="0" applyNumberFormat="1" applyFill="1" applyBorder="1"/>
    <xf numFmtId="172" fontId="0" fillId="5" borderId="42" xfId="2" applyNumberFormat="1" applyFont="1" applyFill="1" applyBorder="1"/>
    <xf numFmtId="172" fontId="0" fillId="0" borderId="42" xfId="2" applyNumberFormat="1" applyFont="1" applyBorder="1"/>
    <xf numFmtId="172" fontId="0" fillId="0" borderId="0" xfId="2" applyNumberFormat="1" applyFont="1" applyBorder="1"/>
    <xf numFmtId="44" fontId="0" fillId="5" borderId="115" xfId="2" applyFont="1" applyFill="1" applyBorder="1"/>
    <xf numFmtId="172" fontId="0" fillId="5" borderId="0" xfId="0" applyNumberFormat="1" applyFill="1"/>
    <xf numFmtId="0" fontId="0" fillId="5" borderId="0" xfId="0" applyFill="1"/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0" fillId="6" borderId="126" xfId="5" applyFont="1" applyFill="1" applyBorder="1" applyAlignment="1" applyProtection="1">
      <alignment vertical="center" wrapText="1"/>
    </xf>
    <xf numFmtId="14" fontId="43" fillId="0" borderId="30" xfId="5" applyNumberFormat="1" applyFont="1" applyFill="1" applyBorder="1" applyAlignment="1" applyProtection="1">
      <alignment horizontal="center" vertical="center" shrinkToFit="1"/>
    </xf>
    <xf numFmtId="0" fontId="43" fillId="2" borderId="1" xfId="5" applyFont="1" applyFill="1" applyBorder="1" applyAlignment="1" applyProtection="1">
      <alignment vertical="top" wrapText="1"/>
      <protection locked="0"/>
    </xf>
    <xf numFmtId="14" fontId="10" fillId="2" borderId="1" xfId="5" applyNumberFormat="1" applyFont="1" applyFill="1" applyBorder="1" applyAlignment="1" applyProtection="1">
      <alignment vertical="center" wrapText="1"/>
      <protection locked="0"/>
    </xf>
    <xf numFmtId="0" fontId="18" fillId="0" borderId="110" xfId="0" applyFont="1" applyFill="1" applyBorder="1"/>
    <xf numFmtId="0" fontId="18" fillId="2" borderId="110" xfId="0" applyFont="1" applyFill="1" applyBorder="1"/>
    <xf numFmtId="0" fontId="18" fillId="2" borderId="109" xfId="0" applyFont="1" applyFill="1" applyBorder="1"/>
    <xf numFmtId="168" fontId="2" fillId="0" borderId="110" xfId="5" applyNumberFormat="1" applyFont="1" applyFill="1" applyBorder="1" applyAlignment="1" applyProtection="1">
      <alignment horizontal="center" vertical="center" wrapText="1"/>
    </xf>
    <xf numFmtId="0" fontId="18" fillId="36" borderId="110" xfId="0" applyFont="1" applyFill="1" applyBorder="1"/>
    <xf numFmtId="0" fontId="87" fillId="36" borderId="109" xfId="0" applyFont="1" applyFill="1" applyBorder="1"/>
    <xf numFmtId="168" fontId="87" fillId="36" borderId="110" xfId="0" applyNumberFormat="1" applyFont="1" applyFill="1" applyBorder="1"/>
    <xf numFmtId="0" fontId="18" fillId="35" borderId="0" xfId="0" applyFont="1" applyFill="1" applyBorder="1"/>
    <xf numFmtId="168" fontId="43" fillId="31" borderId="0" xfId="5" applyNumberFormat="1" applyFont="1" applyFill="1" applyBorder="1" applyAlignment="1" applyProtection="1">
      <alignment horizontal="center" vertical="center" wrapText="1"/>
    </xf>
    <xf numFmtId="0" fontId="46" fillId="5" borderId="31" xfId="0" applyNumberFormat="1" applyFont="1" applyFill="1" applyBorder="1" applyAlignment="1">
      <alignment horizontal="left"/>
    </xf>
    <xf numFmtId="168" fontId="0" fillId="34" borderId="71" xfId="0" applyNumberFormat="1" applyFill="1" applyBorder="1" applyAlignment="1"/>
    <xf numFmtId="14" fontId="0" fillId="0" borderId="0" xfId="1" applyNumberFormat="1" applyFont="1"/>
    <xf numFmtId="168" fontId="0" fillId="34" borderId="23" xfId="0" applyNumberFormat="1" applyFill="1" applyBorder="1" applyAlignment="1"/>
    <xf numFmtId="44" fontId="0" fillId="0" borderId="0" xfId="2" applyFont="1"/>
    <xf numFmtId="44" fontId="0" fillId="0" borderId="0" xfId="2" applyFont="1" applyBorder="1"/>
    <xf numFmtId="44" fontId="0" fillId="0" borderId="0" xfId="2" applyFont="1" applyFill="1" applyBorder="1"/>
    <xf numFmtId="44" fontId="19" fillId="0" borderId="0" xfId="2" applyFont="1" applyFill="1" applyBorder="1" applyAlignment="1">
      <alignment horizontal="right"/>
    </xf>
    <xf numFmtId="44" fontId="27" fillId="0" borderId="0" xfId="2" applyFont="1" applyFill="1" applyBorder="1" applyAlignment="1">
      <alignment horizontal="right"/>
    </xf>
    <xf numFmtId="44" fontId="7" fillId="0" borderId="0" xfId="2" applyFont="1" applyFill="1" applyBorder="1" applyAlignment="1">
      <alignment horizontal="left"/>
    </xf>
    <xf numFmtId="44" fontId="9" fillId="0" borderId="0" xfId="2" applyFont="1" applyFill="1" applyBorder="1"/>
    <xf numFmtId="44" fontId="10" fillId="0" borderId="9" xfId="2" applyFont="1" applyFill="1" applyBorder="1" applyAlignment="1">
      <alignment horizontal="center"/>
    </xf>
    <xf numFmtId="44" fontId="21" fillId="0" borderId="49" xfId="2" applyFont="1" applyFill="1" applyBorder="1" applyAlignment="1" applyProtection="1">
      <alignment horizontal="left" vertical="center"/>
      <protection locked="0"/>
    </xf>
    <xf numFmtId="44" fontId="21" fillId="0" borderId="50" xfId="2" applyFont="1" applyFill="1" applyBorder="1" applyAlignment="1" applyProtection="1">
      <alignment horizontal="left" vertical="center"/>
      <protection locked="0"/>
    </xf>
    <xf numFmtId="44" fontId="21" fillId="0" borderId="50" xfId="2" applyFont="1" applyFill="1" applyBorder="1"/>
    <xf numFmtId="44" fontId="21" fillId="0" borderId="50" xfId="2" quotePrefix="1" applyFont="1" applyFill="1" applyBorder="1" applyAlignment="1" applyProtection="1">
      <alignment horizontal="left" vertical="center"/>
      <protection locked="0"/>
    </xf>
    <xf numFmtId="44" fontId="25" fillId="0" borderId="51" xfId="2" applyFont="1" applyFill="1" applyBorder="1" applyAlignment="1">
      <alignment horizontal="right"/>
    </xf>
    <xf numFmtId="44" fontId="25" fillId="0" borderId="16" xfId="2" applyFont="1" applyFill="1" applyBorder="1" applyAlignment="1">
      <alignment horizontal="right"/>
    </xf>
    <xf numFmtId="44" fontId="21" fillId="0" borderId="16" xfId="2" applyFont="1" applyFill="1" applyBorder="1" applyAlignment="1">
      <alignment horizontal="left"/>
    </xf>
    <xf numFmtId="44" fontId="0" fillId="0" borderId="16" xfId="2" applyFont="1" applyBorder="1"/>
    <xf numFmtId="44" fontId="25" fillId="0" borderId="18" xfId="2" applyFont="1" applyFill="1" applyBorder="1"/>
    <xf numFmtId="0" fontId="71" fillId="29" borderId="0" xfId="0" applyFont="1" applyFill="1" applyBorder="1" applyAlignment="1">
      <alignment horizontal="center"/>
    </xf>
    <xf numFmtId="171" fontId="0" fillId="0" borderId="127" xfId="1" applyNumberFormat="1" applyFont="1" applyBorder="1" applyAlignment="1"/>
    <xf numFmtId="171" fontId="0" fillId="0" borderId="128" xfId="1" applyNumberFormat="1" applyFont="1" applyBorder="1" applyAlignment="1"/>
    <xf numFmtId="168" fontId="71" fillId="5" borderId="119" xfId="1" applyNumberFormat="1" applyFont="1" applyFill="1" applyBorder="1"/>
    <xf numFmtId="168" fontId="0" fillId="0" borderId="71" xfId="0" applyNumberFormat="1" applyFill="1" applyBorder="1" applyAlignment="1"/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16" fontId="2" fillId="2" borderId="110" xfId="5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5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0" fontId="43" fillId="2" borderId="18" xfId="5" applyFont="1" applyFill="1" applyBorder="1" applyAlignment="1" applyProtection="1">
      <alignment horizontal="center" vertical="center" wrapText="1"/>
      <protection locked="0"/>
    </xf>
    <xf numFmtId="0" fontId="43" fillId="2" borderId="19" xfId="5" applyFont="1" applyFill="1" applyBorder="1" applyAlignment="1" applyProtection="1">
      <alignment vertical="center" wrapText="1"/>
      <protection locked="0"/>
    </xf>
    <xf numFmtId="0" fontId="43" fillId="2" borderId="19" xfId="5" applyFont="1" applyFill="1" applyBorder="1" applyAlignment="1" applyProtection="1">
      <alignment horizontal="center" vertical="center" wrapText="1"/>
      <protection locked="0"/>
    </xf>
    <xf numFmtId="1" fontId="43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70" fillId="6" borderId="129" xfId="5" applyFont="1" applyFill="1" applyBorder="1" applyAlignment="1" applyProtection="1">
      <alignment horizontal="center" vertical="center" wrapText="1"/>
    </xf>
    <xf numFmtId="0" fontId="70" fillId="6" borderId="53" xfId="5" applyFont="1" applyFill="1" applyBorder="1" applyAlignment="1" applyProtection="1">
      <alignment horizontal="center" vertical="center" wrapText="1"/>
    </xf>
    <xf numFmtId="168" fontId="70" fillId="0" borderId="79" xfId="5" applyNumberFormat="1" applyFont="1" applyFill="1" applyBorder="1" applyAlignment="1" applyProtection="1">
      <alignment horizontal="center" vertical="center" wrapText="1"/>
    </xf>
    <xf numFmtId="168" fontId="70" fillId="0" borderId="130" xfId="5" applyNumberFormat="1" applyFont="1" applyFill="1" applyBorder="1" applyAlignment="1" applyProtection="1">
      <alignment horizontal="center" vertical="center" wrapText="1"/>
    </xf>
    <xf numFmtId="0" fontId="18" fillId="36" borderId="0" xfId="0" applyFont="1" applyFill="1" applyBorder="1"/>
    <xf numFmtId="0" fontId="87" fillId="36" borderId="0" xfId="0" applyFont="1" applyFill="1" applyBorder="1"/>
    <xf numFmtId="168" fontId="87" fillId="36" borderId="0" xfId="0" applyNumberFormat="1" applyFont="1" applyFill="1" applyBorder="1"/>
    <xf numFmtId="0" fontId="43" fillId="0" borderId="6" xfId="5" applyFont="1" applyFill="1" applyBorder="1" applyAlignment="1" applyProtection="1">
      <alignment horizontal="center" vertical="center" wrapText="1"/>
    </xf>
    <xf numFmtId="1" fontId="43" fillId="0" borderId="64" xfId="5" applyNumberFormat="1" applyFont="1" applyFill="1" applyBorder="1" applyAlignment="1" applyProtection="1">
      <alignment horizontal="center" vertical="center" wrapText="1"/>
    </xf>
    <xf numFmtId="168" fontId="43" fillId="37" borderId="101" xfId="5" applyNumberFormat="1" applyFont="1" applyFill="1" applyBorder="1" applyAlignment="1" applyProtection="1">
      <alignment horizontal="center" vertical="center" wrapText="1"/>
    </xf>
    <xf numFmtId="168" fontId="44" fillId="37" borderId="55" xfId="5" applyNumberFormat="1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168" fontId="43" fillId="0" borderId="105" xfId="5" applyNumberFormat="1" applyFont="1" applyFill="1" applyBorder="1" applyAlignment="1" applyProtection="1">
      <alignment horizontal="center" vertical="center" wrapText="1"/>
    </xf>
    <xf numFmtId="0" fontId="43" fillId="2" borderId="110" xfId="5" applyFont="1" applyFill="1" applyBorder="1" applyAlignment="1" applyProtection="1">
      <alignment horizontal="right" vertical="center" wrapText="1"/>
    </xf>
    <xf numFmtId="49" fontId="70" fillId="2" borderId="110" xfId="5" applyNumberFormat="1" applyFont="1" applyFill="1" applyBorder="1" applyAlignment="1" applyProtection="1">
      <alignment horizontal="left" vertical="center"/>
    </xf>
    <xf numFmtId="49" fontId="70" fillId="2" borderId="110" xfId="5" applyNumberFormat="1" applyFont="1" applyFill="1" applyBorder="1" applyAlignment="1" applyProtection="1">
      <alignment vertical="center" wrapText="1"/>
    </xf>
    <xf numFmtId="14" fontId="43" fillId="2" borderId="110" xfId="5" applyNumberFormat="1" applyFont="1" applyFill="1" applyBorder="1" applyAlignment="1" applyProtection="1">
      <alignment horizontal="center" wrapText="1"/>
    </xf>
    <xf numFmtId="0" fontId="43" fillId="0" borderId="110" xfId="5" applyFont="1" applyFill="1" applyBorder="1" applyAlignment="1" applyProtection="1">
      <alignment horizontal="center" vertical="center" wrapText="1"/>
    </xf>
    <xf numFmtId="168" fontId="43" fillId="0" borderId="110" xfId="5" applyNumberFormat="1" applyFont="1" applyFill="1" applyBorder="1" applyAlignment="1" applyProtection="1">
      <alignment horizontal="center" vertical="center" wrapText="1"/>
    </xf>
    <xf numFmtId="168" fontId="88" fillId="0" borderId="110" xfId="0" applyNumberFormat="1" applyFont="1" applyFill="1" applyBorder="1" applyAlignment="1">
      <alignment horizontal="center" wrapText="1"/>
    </xf>
    <xf numFmtId="49" fontId="70" fillId="2" borderId="118" xfId="5" applyNumberFormat="1" applyFont="1" applyFill="1" applyBorder="1" applyAlignment="1" applyProtection="1">
      <alignment horizontal="left" vertical="center"/>
    </xf>
    <xf numFmtId="49" fontId="70" fillId="2" borderId="118" xfId="5" applyNumberFormat="1" applyFont="1" applyFill="1" applyBorder="1" applyAlignment="1" applyProtection="1">
      <alignment vertical="center" wrapText="1"/>
    </xf>
    <xf numFmtId="14" fontId="43" fillId="2" borderId="118" xfId="5" applyNumberFormat="1" applyFont="1" applyFill="1" applyBorder="1" applyAlignment="1" applyProtection="1">
      <alignment horizontal="center" wrapText="1"/>
    </xf>
    <xf numFmtId="0" fontId="43" fillId="2" borderId="118" xfId="5" applyFont="1" applyFill="1" applyBorder="1" applyAlignment="1" applyProtection="1">
      <alignment horizontal="right" vertical="center" wrapText="1"/>
    </xf>
    <xf numFmtId="0" fontId="43" fillId="0" borderId="118" xfId="5" applyFont="1" applyFill="1" applyBorder="1" applyAlignment="1" applyProtection="1">
      <alignment horizontal="center" vertical="center" wrapText="1"/>
    </xf>
    <xf numFmtId="49" fontId="70" fillId="2" borderId="21" xfId="5" applyNumberFormat="1" applyFont="1" applyFill="1" applyBorder="1" applyAlignment="1" applyProtection="1">
      <alignment horizontal="left" vertical="center"/>
    </xf>
    <xf numFmtId="49" fontId="70" fillId="2" borderId="131" xfId="5" applyNumberFormat="1" applyFont="1" applyFill="1" applyBorder="1" applyAlignment="1" applyProtection="1">
      <alignment vertical="center" wrapText="1"/>
    </xf>
    <xf numFmtId="14" fontId="43" fillId="2" borderId="131" xfId="5" applyNumberFormat="1" applyFont="1" applyFill="1" applyBorder="1" applyAlignment="1" applyProtection="1">
      <alignment horizontal="center" wrapText="1"/>
    </xf>
    <xf numFmtId="168" fontId="43" fillId="0" borderId="22" xfId="5" applyNumberFormat="1" applyFont="1" applyFill="1" applyBorder="1" applyAlignment="1" applyProtection="1">
      <alignment horizontal="center" vertical="center" wrapText="1"/>
    </xf>
    <xf numFmtId="0" fontId="44" fillId="2" borderId="131" xfId="5" applyFont="1" applyFill="1" applyBorder="1" applyAlignment="1" applyProtection="1">
      <alignment horizontal="righ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2" fillId="0" borderId="0" xfId="94"/>
    <xf numFmtId="4" fontId="2" fillId="2" borderId="110" xfId="5" applyNumberFormat="1" applyFont="1" applyFill="1" applyBorder="1" applyAlignment="1" applyProtection="1">
      <alignment horizontal="center" vertical="center" wrapText="1"/>
      <protection locked="0"/>
    </xf>
    <xf numFmtId="0" fontId="44" fillId="0" borderId="69" xfId="5" applyFont="1" applyFill="1" applyBorder="1" applyAlignment="1" applyProtection="1">
      <alignment horizontal="center" vertical="center" wrapText="1"/>
    </xf>
    <xf numFmtId="0" fontId="10" fillId="2" borderId="38" xfId="5" applyFont="1" applyFill="1" applyBorder="1" applyAlignment="1" applyProtection="1">
      <alignment horizontal="center" vertical="center" wrapText="1"/>
      <protection locked="0"/>
    </xf>
    <xf numFmtId="0" fontId="2" fillId="2" borderId="117" xfId="5" applyFont="1" applyFill="1" applyBorder="1" applyAlignment="1" applyProtection="1">
      <alignment vertical="center" wrapText="1"/>
      <protection locked="0"/>
    </xf>
    <xf numFmtId="0" fontId="2" fillId="2" borderId="116" xfId="5" applyFont="1" applyFill="1" applyBorder="1" applyAlignment="1" applyProtection="1">
      <alignment horizontal="center" vertical="center" wrapText="1"/>
      <protection locked="0"/>
    </xf>
    <xf numFmtId="1" fontId="2" fillId="2" borderId="116" xfId="5" applyNumberFormat="1" applyFont="1" applyFill="1" applyBorder="1" applyAlignment="1" applyProtection="1">
      <alignment horizontal="center" vertical="center" wrapText="1"/>
      <protection locked="0"/>
    </xf>
    <xf numFmtId="168" fontId="18" fillId="0" borderId="110" xfId="0" applyNumberFormat="1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46" fillId="5" borderId="110" xfId="0" applyNumberFormat="1" applyFont="1" applyFill="1" applyBorder="1" applyAlignment="1">
      <alignment horizontal="left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4" fontId="0" fillId="0" borderId="132" xfId="0" applyNumberFormat="1" applyBorder="1" applyAlignment="1"/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16" fontId="10" fillId="2" borderId="104" xfId="5" applyNumberFormat="1" applyFont="1" applyFill="1" applyBorder="1" applyAlignment="1" applyProtection="1">
      <alignment horizontal="center" vertical="center" wrapText="1"/>
      <protection locked="0"/>
    </xf>
    <xf numFmtId="0" fontId="0" fillId="2" borderId="134" xfId="0" applyFill="1" applyBorder="1" applyAlignment="1" applyProtection="1">
      <alignment horizontal="center" vertical="center" wrapText="1"/>
      <protection locked="0"/>
    </xf>
    <xf numFmtId="1" fontId="0" fillId="2" borderId="134" xfId="0" applyNumberFormat="1" applyFill="1" applyBorder="1" applyAlignment="1" applyProtection="1">
      <alignment horizontal="center" vertical="center" wrapText="1"/>
      <protection locked="0"/>
    </xf>
    <xf numFmtId="14" fontId="0" fillId="2" borderId="133" xfId="0" applyNumberFormat="1" applyFill="1" applyBorder="1" applyAlignment="1" applyProtection="1">
      <alignment vertical="center" wrapText="1"/>
      <protection locked="0"/>
    </xf>
    <xf numFmtId="0" fontId="89" fillId="38" borderId="104" xfId="5" applyFont="1" applyFill="1" applyBorder="1" applyAlignment="1" applyProtection="1">
      <alignment horizontal="center" vertical="center" wrapText="1"/>
      <protection locked="0"/>
    </xf>
    <xf numFmtId="178" fontId="90" fillId="38" borderId="109" xfId="5" applyNumberFormat="1" applyFont="1" applyFill="1" applyBorder="1" applyAlignment="1" applyProtection="1">
      <alignment vertical="center" wrapText="1"/>
      <protection locked="0"/>
    </xf>
    <xf numFmtId="0" fontId="90" fillId="38" borderId="110" xfId="5" applyFont="1" applyFill="1" applyBorder="1" applyAlignment="1" applyProtection="1">
      <alignment horizontal="center" vertical="center" wrapText="1"/>
      <protection locked="0"/>
    </xf>
    <xf numFmtId="1" fontId="90" fillId="38" borderId="110" xfId="5" applyNumberFormat="1" applyFont="1" applyFill="1" applyBorder="1" applyAlignment="1" applyProtection="1">
      <alignment horizontal="center" vertical="center" wrapText="1"/>
      <protection locked="0"/>
    </xf>
    <xf numFmtId="0" fontId="90" fillId="38" borderId="109" xfId="5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44" fillId="2" borderId="54" xfId="5" applyFont="1" applyFill="1" applyBorder="1" applyAlignment="1" applyProtection="1">
      <alignment horizontal="center" vertical="center" wrapText="1"/>
    </xf>
    <xf numFmtId="14" fontId="10" fillId="2" borderId="104" xfId="5" applyNumberFormat="1" applyFont="1" applyFill="1" applyBorder="1" applyAlignment="1" applyProtection="1">
      <alignment horizontal="center" vertical="center" wrapText="1"/>
      <protection locked="0"/>
    </xf>
    <xf numFmtId="39" fontId="30" fillId="0" borderId="0" xfId="1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5" fontId="8" fillId="0" borderId="0" xfId="0" applyNumberFormat="1" applyFont="1" applyBorder="1" applyAlignment="1"/>
    <xf numFmtId="0" fontId="20" fillId="4" borderId="54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wrapText="1"/>
    </xf>
    <xf numFmtId="171" fontId="18" fillId="0" borderId="135" xfId="1" applyNumberFormat="1" applyFont="1" applyFill="1" applyBorder="1" applyAlignment="1" applyProtection="1">
      <alignment horizontal="center"/>
    </xf>
    <xf numFmtId="43" fontId="10" fillId="0" borderId="54" xfId="1" applyNumberFormat="1" applyFont="1" applyFill="1" applyBorder="1" applyAlignment="1">
      <alignment horizontal="center" wrapText="1"/>
    </xf>
    <xf numFmtId="44" fontId="11" fillId="0" borderId="55" xfId="2" applyFont="1" applyFill="1" applyBorder="1" applyAlignment="1">
      <alignment horizontal="center" wrapText="1"/>
    </xf>
    <xf numFmtId="0" fontId="21" fillId="0" borderId="136" xfId="0" applyFont="1" applyBorder="1"/>
    <xf numFmtId="14" fontId="0" fillId="0" borderId="0" xfId="0" applyNumberFormat="1" applyBorder="1" applyAlignment="1"/>
    <xf numFmtId="168" fontId="0" fillId="0" borderId="0" xfId="0" applyNumberFormat="1" applyBorder="1" applyAlignment="1"/>
    <xf numFmtId="37" fontId="18" fillId="0" borderId="53" xfId="2" applyNumberFormat="1" applyFont="1" applyFill="1" applyBorder="1" applyProtection="1"/>
    <xf numFmtId="168" fontId="2" fillId="0" borderId="101" xfId="5" applyNumberFormat="1" applyFont="1" applyBorder="1" applyAlignment="1">
      <alignment horizontal="center" vertical="center" wrapText="1"/>
    </xf>
    <xf numFmtId="168" fontId="29" fillId="0" borderId="0" xfId="0" applyNumberFormat="1" applyFont="1" applyAlignment="1">
      <alignment horizontal="right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171" fontId="18" fillId="0" borderId="11" xfId="1" applyNumberFormat="1" applyFont="1" applyBorder="1" applyAlignment="1"/>
    <xf numFmtId="171" fontId="18" fillId="0" borderId="27" xfId="1" applyNumberFormat="1" applyFont="1" applyBorder="1" applyAlignment="1"/>
    <xf numFmtId="14" fontId="5" fillId="2" borderId="105" xfId="5" applyNumberFormat="1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71" fontId="21" fillId="0" borderId="11" xfId="1" applyNumberFormat="1" applyFont="1" applyBorder="1" applyAlignment="1"/>
    <xf numFmtId="0" fontId="2" fillId="2" borderId="109" xfId="109" applyFont="1" applyFill="1" applyBorder="1" applyAlignment="1" applyProtection="1">
      <alignment vertical="center" wrapText="1"/>
      <protection locked="0"/>
    </xf>
    <xf numFmtId="0" fontId="2" fillId="2" borderId="110" xfId="109" applyFont="1" applyFill="1" applyBorder="1" applyAlignment="1" applyProtection="1">
      <alignment horizontal="center" vertical="center" wrapText="1"/>
      <protection locked="0"/>
    </xf>
    <xf numFmtId="1" fontId="2" fillId="2" borderId="110" xfId="109" applyNumberFormat="1" applyFont="1" applyFill="1" applyBorder="1" applyAlignment="1" applyProtection="1">
      <alignment horizontal="center" vertical="center" wrapText="1"/>
      <protection locked="0"/>
    </xf>
    <xf numFmtId="14" fontId="2" fillId="2" borderId="109" xfId="109" applyNumberFormat="1" applyFont="1" applyFill="1" applyBorder="1" applyAlignment="1" applyProtection="1">
      <alignment vertical="center" wrapText="1"/>
      <protection locked="0"/>
    </xf>
    <xf numFmtId="49" fontId="2" fillId="2" borderId="109" xfId="109" applyNumberFormat="1" applyFont="1" applyFill="1" applyBorder="1" applyAlignment="1" applyProtection="1">
      <alignment vertical="center" wrapText="1"/>
      <protection locked="0"/>
    </xf>
    <xf numFmtId="168" fontId="29" fillId="0" borderId="0" xfId="0" applyNumberFormat="1" applyFont="1" applyAlignment="1">
      <alignment horizontal="right"/>
    </xf>
    <xf numFmtId="0" fontId="71" fillId="29" borderId="0" xfId="0" applyFont="1" applyFill="1" applyBorder="1" applyAlignment="1">
      <alignment horizontal="center"/>
    </xf>
    <xf numFmtId="0" fontId="18" fillId="2" borderId="0" xfId="5" applyFill="1" applyProtection="1">
      <protection locked="0"/>
    </xf>
    <xf numFmtId="44" fontId="21" fillId="0" borderId="137" xfId="2" applyFont="1" applyFill="1" applyBorder="1" applyAlignment="1" applyProtection="1">
      <alignment horizontal="left" vertical="center"/>
      <protection locked="0"/>
    </xf>
    <xf numFmtId="0" fontId="44" fillId="0" borderId="69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49" fontId="10" fillId="2" borderId="104" xfId="5" applyNumberFormat="1" applyFont="1" applyFill="1" applyBorder="1" applyAlignment="1" applyProtection="1">
      <alignment horizontal="center" vertical="center" wrapText="1"/>
      <protection locked="0"/>
    </xf>
    <xf numFmtId="49" fontId="43" fillId="0" borderId="111" xfId="5" applyNumberFormat="1" applyFont="1" applyFill="1" applyBorder="1" applyAlignment="1" applyProtection="1">
      <alignment horizontal="center" vertical="center" wrapText="1"/>
    </xf>
    <xf numFmtId="177" fontId="0" fillId="3" borderId="77" xfId="0" applyNumberFormat="1" applyFill="1" applyBorder="1"/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71" fillId="31" borderId="53" xfId="0" applyFont="1" applyFill="1" applyBorder="1"/>
    <xf numFmtId="0" fontId="71" fillId="31" borderId="110" xfId="0" applyFont="1" applyFill="1" applyBorder="1"/>
    <xf numFmtId="0" fontId="71" fillId="33" borderId="110" xfId="0" applyFont="1" applyFill="1" applyBorder="1"/>
    <xf numFmtId="168" fontId="71" fillId="33" borderId="0" xfId="0" applyNumberFormat="1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5" fillId="2" borderId="105" xfId="110" applyFont="1" applyFill="1" applyBorder="1" applyAlignment="1" applyProtection="1">
      <alignment vertical="center" wrapText="1"/>
      <protection locked="0"/>
    </xf>
    <xf numFmtId="0" fontId="91" fillId="38" borderId="105" xfId="5" applyFont="1" applyFill="1" applyBorder="1" applyAlignment="1" applyProtection="1">
      <alignment vertical="center" wrapText="1"/>
      <protection locked="0"/>
    </xf>
    <xf numFmtId="0" fontId="93" fillId="2" borderId="138" xfId="0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168" fontId="43" fillId="0" borderId="118" xfId="5" applyNumberFormat="1" applyFont="1" applyFill="1" applyBorder="1" applyAlignment="1" applyProtection="1">
      <alignment horizontal="center" vertical="center" wrapText="1"/>
    </xf>
    <xf numFmtId="0" fontId="43" fillId="2" borderId="110" xfId="5" applyFont="1" applyFill="1" applyBorder="1" applyAlignment="1" applyProtection="1">
      <alignment horizontal="center" vertical="center" wrapText="1"/>
    </xf>
    <xf numFmtId="0" fontId="43" fillId="2" borderId="118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0" fillId="2" borderId="133" xfId="0" applyFill="1" applyBorder="1" applyAlignment="1" applyProtection="1">
      <alignment vertical="center" wrapText="1"/>
      <protection locked="0"/>
    </xf>
    <xf numFmtId="0" fontId="70" fillId="2" borderId="129" xfId="5" applyFont="1" applyFill="1" applyBorder="1" applyAlignment="1" applyProtection="1">
      <alignment horizontal="center" vertical="center" wrapText="1"/>
    </xf>
    <xf numFmtId="0" fontId="70" fillId="2" borderId="4" xfId="5" applyFont="1" applyFill="1" applyBorder="1" applyAlignment="1" applyProtection="1">
      <alignment horizontal="center" vertical="center" wrapText="1"/>
    </xf>
    <xf numFmtId="0" fontId="70" fillId="2" borderId="53" xfId="5" applyFont="1" applyFill="1" applyBorder="1" applyAlignment="1" applyProtection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21" fillId="0" borderId="75" xfId="0" applyFont="1" applyFill="1" applyBorder="1"/>
    <xf numFmtId="0" fontId="71" fillId="29" borderId="0" xfId="0" applyFont="1" applyFill="1" applyBorder="1" applyAlignment="1">
      <alignment horizontal="center"/>
    </xf>
    <xf numFmtId="0" fontId="44" fillId="0" borderId="69" xfId="5" applyFont="1" applyFill="1" applyBorder="1" applyAlignment="1" applyProtection="1">
      <alignment horizontal="center" vertical="center" wrapText="1"/>
    </xf>
    <xf numFmtId="0" fontId="70" fillId="0" borderId="0" xfId="5" applyFont="1" applyFill="1" applyBorder="1" applyAlignment="1" applyProtection="1">
      <alignment horizontal="left" vertical="center" shrinkToFit="1"/>
    </xf>
    <xf numFmtId="0" fontId="71" fillId="29" borderId="0" xfId="0" applyFont="1" applyFill="1" applyBorder="1" applyAlignment="1">
      <alignment horizontal="center"/>
    </xf>
    <xf numFmtId="49" fontId="43" fillId="0" borderId="64" xfId="5" applyNumberFormat="1" applyFont="1" applyFill="1" applyBorder="1" applyAlignment="1" applyProtection="1">
      <alignment horizontal="center" vertical="center" wrapText="1"/>
    </xf>
    <xf numFmtId="0" fontId="94" fillId="2" borderId="139" xfId="0" applyFont="1" applyFill="1" applyBorder="1" applyAlignment="1" applyProtection="1">
      <alignment horizontal="center" vertical="center" wrapText="1"/>
      <protection locked="0"/>
    </xf>
    <xf numFmtId="168" fontId="27" fillId="0" borderId="0" xfId="0" applyNumberFormat="1" applyFont="1"/>
    <xf numFmtId="44" fontId="24" fillId="0" borderId="30" xfId="2" applyFont="1" applyFill="1" applyBorder="1" applyProtection="1"/>
    <xf numFmtId="0" fontId="71" fillId="29" borderId="0" xfId="0" applyFont="1" applyFill="1" applyBorder="1" applyAlignment="1">
      <alignment horizontal="center"/>
    </xf>
    <xf numFmtId="0" fontId="0" fillId="39" borderId="43" xfId="0" applyFill="1" applyBorder="1"/>
    <xf numFmtId="0" fontId="0" fillId="39" borderId="75" xfId="0" applyFill="1" applyBorder="1"/>
    <xf numFmtId="172" fontId="0" fillId="39" borderId="75" xfId="2" applyNumberFormat="1" applyFont="1" applyFill="1" applyBorder="1"/>
    <xf numFmtId="0" fontId="0" fillId="40" borderId="43" xfId="0" applyFill="1" applyBorder="1"/>
    <xf numFmtId="0" fontId="0" fillId="40" borderId="75" xfId="0" applyFill="1" applyBorder="1"/>
    <xf numFmtId="172" fontId="0" fillId="40" borderId="75" xfId="2" applyNumberFormat="1" applyFont="1" applyFill="1" applyBorder="1"/>
    <xf numFmtId="172" fontId="21" fillId="40" borderId="75" xfId="2" applyNumberFormat="1" applyFont="1" applyFill="1" applyBorder="1"/>
    <xf numFmtId="172" fontId="0" fillId="40" borderId="0" xfId="0" applyNumberFormat="1" applyFill="1" applyBorder="1"/>
    <xf numFmtId="0" fontId="71" fillId="29" borderId="0" xfId="0" applyFont="1" applyFill="1" applyBorder="1" applyAlignment="1">
      <alignment horizontal="center"/>
    </xf>
    <xf numFmtId="172" fontId="0" fillId="39" borderId="0" xfId="2" applyNumberFormat="1" applyFont="1" applyFill="1" applyBorder="1"/>
    <xf numFmtId="0" fontId="71" fillId="29" borderId="0" xfId="0" applyFont="1" applyFill="1" applyBorder="1" applyAlignment="1">
      <alignment horizontal="center"/>
    </xf>
    <xf numFmtId="0" fontId="10" fillId="2" borderId="141" xfId="5" applyFont="1" applyFill="1" applyBorder="1" applyAlignment="1" applyProtection="1">
      <alignment horizontal="center" vertical="center" wrapText="1"/>
      <protection locked="0"/>
    </xf>
    <xf numFmtId="0" fontId="2" fillId="2" borderId="142" xfId="5" applyFont="1" applyFill="1" applyBorder="1" applyAlignment="1" applyProtection="1">
      <alignment vertical="center" wrapText="1"/>
      <protection locked="0"/>
    </xf>
    <xf numFmtId="0" fontId="2" fillId="2" borderId="140" xfId="5" applyFont="1" applyFill="1" applyBorder="1" applyAlignment="1" applyProtection="1">
      <alignment horizontal="center" vertical="center" wrapText="1"/>
      <protection locked="0"/>
    </xf>
    <xf numFmtId="1" fontId="2" fillId="2" borderId="140" xfId="5" applyNumberFormat="1" applyFont="1" applyFill="1" applyBorder="1" applyAlignment="1" applyProtection="1">
      <alignment horizontal="center" vertical="center" wrapText="1"/>
      <protection locked="0"/>
    </xf>
    <xf numFmtId="49" fontId="2" fillId="2" borderId="142" xfId="5" applyNumberFormat="1" applyFont="1" applyFill="1" applyBorder="1" applyAlignment="1" applyProtection="1">
      <alignment vertical="center" wrapText="1"/>
      <protection locked="0"/>
    </xf>
    <xf numFmtId="0" fontId="95" fillId="2" borderId="134" xfId="0" applyFont="1" applyFill="1" applyBorder="1" applyAlignment="1" applyProtection="1">
      <alignment horizontal="center" vertical="center" wrapText="1"/>
      <protection locked="0"/>
    </xf>
    <xf numFmtId="0" fontId="43" fillId="2" borderId="4" xfId="5" applyFont="1" applyFill="1" applyBorder="1" applyAlignment="1" applyProtection="1">
      <alignment horizontal="center" vertical="center" wrapText="1"/>
    </xf>
    <xf numFmtId="0" fontId="72" fillId="0" borderId="140" xfId="0" applyFont="1" applyFill="1" applyBorder="1" applyAlignment="1">
      <alignment horizontal="center"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68" fontId="0" fillId="0" borderId="143" xfId="0" applyNumberFormat="1" applyBorder="1"/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7" fontId="71" fillId="0" borderId="0" xfId="0" applyNumberFormat="1" applyFont="1" applyFill="1" applyAlignment="1">
      <alignment horizontal="left"/>
    </xf>
    <xf numFmtId="0" fontId="71" fillId="29" borderId="0" xfId="0" applyFont="1" applyFill="1" applyBorder="1" applyAlignment="1">
      <alignment horizontal="center"/>
    </xf>
    <xf numFmtId="14" fontId="0" fillId="0" borderId="8" xfId="0" applyNumberFormat="1" applyFill="1" applyBorder="1" applyAlignment="1"/>
    <xf numFmtId="171" fontId="0" fillId="0" borderId="11" xfId="1" applyNumberFormat="1" applyFont="1" applyFill="1" applyBorder="1" applyAlignment="1"/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68" fontId="0" fillId="0" borderId="144" xfId="0" applyNumberFormat="1" applyFont="1" applyBorder="1"/>
    <xf numFmtId="49" fontId="0" fillId="2" borderId="142" xfId="5" applyNumberFormat="1" applyFont="1" applyFill="1" applyBorder="1" applyAlignment="1" applyProtection="1">
      <alignment vertical="center" wrapText="1"/>
      <protection locked="0"/>
    </xf>
    <xf numFmtId="0" fontId="0" fillId="2" borderId="140" xfId="5" applyFont="1" applyFill="1" applyBorder="1" applyAlignment="1" applyProtection="1">
      <alignment horizontal="center" vertical="center" wrapText="1"/>
      <protection locked="0"/>
    </xf>
    <xf numFmtId="1" fontId="0" fillId="2" borderId="140" xfId="5" applyNumberFormat="1" applyFont="1" applyFill="1" applyBorder="1" applyAlignment="1" applyProtection="1">
      <alignment horizontal="center" vertical="center" wrapText="1"/>
      <protection locked="0"/>
    </xf>
    <xf numFmtId="14" fontId="0" fillId="2" borderId="142" xfId="5" applyNumberFormat="1" applyFont="1" applyFill="1" applyBorder="1" applyAlignment="1" applyProtection="1">
      <alignment vertical="center" wrapText="1"/>
      <protection locked="0"/>
    </xf>
    <xf numFmtId="14" fontId="2" fillId="2" borderId="142" xfId="5" applyNumberFormat="1" applyFont="1" applyFill="1" applyBorder="1" applyAlignment="1" applyProtection="1">
      <alignment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172" fontId="21" fillId="39" borderId="75" xfId="2" applyNumberFormat="1" applyFont="1" applyFill="1" applyBorder="1"/>
    <xf numFmtId="0" fontId="15" fillId="2" borderId="105" xfId="5" applyFont="1" applyFill="1" applyBorder="1" applyAlignment="1" applyProtection="1">
      <alignment vertical="center" wrapText="1"/>
      <protection locked="0"/>
    </xf>
    <xf numFmtId="49" fontId="43" fillId="2" borderId="110" xfId="5" applyNumberFormat="1" applyFont="1" applyFill="1" applyBorder="1" applyAlignment="1" applyProtection="1">
      <alignment vertical="center" wrapText="1"/>
    </xf>
    <xf numFmtId="49" fontId="43" fillId="2" borderId="118" xfId="5" applyNumberFormat="1" applyFont="1" applyFill="1" applyBorder="1" applyAlignment="1" applyProtection="1">
      <alignment vertical="center" wrapText="1"/>
    </xf>
    <xf numFmtId="168" fontId="2" fillId="2" borderId="101" xfId="5" applyNumberFormat="1" applyFont="1" applyFill="1" applyBorder="1" applyAlignment="1">
      <alignment horizontal="center" vertical="center" wrapText="1"/>
    </xf>
    <xf numFmtId="1" fontId="2" fillId="2" borderId="110" xfId="5" applyNumberFormat="1" applyFont="1" applyFill="1" applyBorder="1" applyAlignment="1" applyProtection="1">
      <alignment horizontal="left" vertical="center" wrapText="1"/>
      <protection locked="0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49" fontId="2" fillId="2" borderId="110" xfId="5" applyNumberFormat="1" applyFont="1" applyFill="1" applyBorder="1" applyAlignment="1" applyProtection="1">
      <alignment vertical="center" wrapText="1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71" fillId="29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right"/>
    </xf>
    <xf numFmtId="168" fontId="29" fillId="0" borderId="0" xfId="0" applyNumberFormat="1" applyFont="1" applyAlignment="1">
      <alignment horizontal="right"/>
    </xf>
    <xf numFmtId="0" fontId="0" fillId="0" borderId="16" xfId="0" applyBorder="1" applyAlignment="1">
      <alignment horizontal="left" vertical="top" wrapText="1"/>
    </xf>
    <xf numFmtId="0" fontId="46" fillId="5" borderId="109" xfId="0" applyFont="1" applyFill="1" applyBorder="1" applyAlignment="1">
      <alignment horizontal="left"/>
    </xf>
    <xf numFmtId="0" fontId="46" fillId="5" borderId="111" xfId="0" applyFont="1" applyFill="1" applyBorder="1" applyAlignment="1">
      <alignment horizontal="left"/>
    </xf>
    <xf numFmtId="0" fontId="45" fillId="5" borderId="3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 wrapText="1"/>
    </xf>
    <xf numFmtId="49" fontId="70" fillId="0" borderId="60" xfId="5" applyNumberFormat="1" applyFont="1" applyFill="1" applyBorder="1" applyAlignment="1" applyProtection="1">
      <alignment horizontal="left" vertical="center" shrinkToFit="1"/>
    </xf>
    <xf numFmtId="0" fontId="70" fillId="0" borderId="61" xfId="5" applyFont="1" applyFill="1" applyBorder="1" applyAlignment="1" applyProtection="1">
      <alignment horizontal="left" vertical="center" shrinkToFit="1"/>
    </xf>
    <xf numFmtId="0" fontId="44" fillId="0" borderId="69" xfId="5" applyFont="1" applyFill="1" applyBorder="1" applyAlignment="1" applyProtection="1">
      <alignment horizontal="center" vertical="center" wrapText="1"/>
    </xf>
    <xf numFmtId="0" fontId="44" fillId="0" borderId="0" xfId="5" applyFont="1" applyFill="1" applyBorder="1" applyAlignment="1" applyProtection="1">
      <alignment horizontal="center" vertical="center" wrapText="1"/>
    </xf>
    <xf numFmtId="49" fontId="70" fillId="0" borderId="0" xfId="5" applyNumberFormat="1" applyFont="1" applyFill="1" applyBorder="1" applyAlignment="1" applyProtection="1">
      <alignment horizontal="left" vertical="center" shrinkToFit="1"/>
    </xf>
    <xf numFmtId="0" fontId="70" fillId="0" borderId="0" xfId="5" applyFont="1" applyFill="1" applyBorder="1" applyAlignment="1" applyProtection="1">
      <alignment horizontal="left" vertical="center" shrinkToFit="1"/>
    </xf>
    <xf numFmtId="49" fontId="70" fillId="0" borderId="61" xfId="5" applyNumberFormat="1" applyFont="1" applyFill="1" applyBorder="1" applyAlignment="1" applyProtection="1">
      <alignment horizontal="left" vertical="center" shrinkToFit="1"/>
    </xf>
    <xf numFmtId="49" fontId="83" fillId="0" borderId="69" xfId="5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/>
    </xf>
    <xf numFmtId="0" fontId="71" fillId="29" borderId="0" xfId="0" applyFont="1" applyFill="1" applyBorder="1" applyAlignment="1">
      <alignment horizontal="center"/>
    </xf>
    <xf numFmtId="0" fontId="72" fillId="5" borderId="18" xfId="0" applyFont="1" applyFill="1" applyBorder="1" applyAlignment="1">
      <alignment horizontal="center"/>
    </xf>
    <xf numFmtId="0" fontId="72" fillId="5" borderId="19" xfId="0" applyFont="1" applyFill="1" applyBorder="1" applyAlignment="1">
      <alignment horizontal="center"/>
    </xf>
    <xf numFmtId="0" fontId="43" fillId="2" borderId="4" xfId="5" applyFont="1" applyFill="1" applyBorder="1" applyAlignment="1" applyProtection="1">
      <alignment vertical="center" wrapText="1"/>
    </xf>
  </cellXfs>
  <cellStyles count="111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 2" xfId="32" xr:uid="{00000000-0005-0000-0000-000018000000}"/>
    <cellStyle name="Calculation 2" xfId="56" xr:uid="{00000000-0005-0000-0000-000019000000}"/>
    <cellStyle name="Calculation 2 2" xfId="69" xr:uid="{00000000-0005-0000-0000-00001A000000}"/>
    <cellStyle name="Calculation 2 2 2" xfId="90" xr:uid="{00000000-0005-0000-0000-00001B000000}"/>
    <cellStyle name="Calculation 2 2 2 2" xfId="108" xr:uid="{00000000-0005-0000-0000-00001C000000}"/>
    <cellStyle name="Calculation 2 2 3" xfId="82" xr:uid="{00000000-0005-0000-0000-00001D000000}"/>
    <cellStyle name="Calculation 2 3" xfId="76" xr:uid="{00000000-0005-0000-0000-00001E000000}"/>
    <cellStyle name="Calculation 2 3 2" xfId="100" xr:uid="{00000000-0005-0000-0000-00001F000000}"/>
    <cellStyle name="Calculation 2 4" xfId="92" xr:uid="{00000000-0005-0000-0000-000020000000}"/>
    <cellStyle name="Calculation 3" xfId="33" xr:uid="{00000000-0005-0000-0000-000021000000}"/>
    <cellStyle name="Calculation 3 2" xfId="95" xr:uid="{00000000-0005-0000-0000-000022000000}"/>
    <cellStyle name="Check Cell 2" xfId="34" xr:uid="{00000000-0005-0000-0000-000023000000}"/>
    <cellStyle name="Comma" xfId="1" builtinId="3"/>
    <cellStyle name="Comma 2" xfId="62" xr:uid="{00000000-0005-0000-0000-000025000000}"/>
    <cellStyle name="Comma 3" xfId="35" xr:uid="{00000000-0005-0000-0000-000026000000}"/>
    <cellStyle name="Currency" xfId="2" builtinId="4"/>
    <cellStyle name="Currency 2" xfId="63" xr:uid="{00000000-0005-0000-0000-000028000000}"/>
    <cellStyle name="Currency 2 2" xfId="64" xr:uid="{00000000-0005-0000-0000-000029000000}"/>
    <cellStyle name="Currency 3" xfId="36" xr:uid="{00000000-0005-0000-0000-00002A000000}"/>
    <cellStyle name="Explanatory Text 2" xfId="37" xr:uid="{00000000-0005-0000-0000-00002B000000}"/>
    <cellStyle name="Good 2" xfId="38" xr:uid="{00000000-0005-0000-0000-00002C000000}"/>
    <cellStyle name="Heading 1 2" xfId="39" xr:uid="{00000000-0005-0000-0000-00002D000000}"/>
    <cellStyle name="Heading 2 2" xfId="40" xr:uid="{00000000-0005-0000-0000-00002E000000}"/>
    <cellStyle name="Heading 3 2" xfId="41" xr:uid="{00000000-0005-0000-0000-00002F000000}"/>
    <cellStyle name="Heading 4 2" xfId="42" xr:uid="{00000000-0005-0000-0000-000030000000}"/>
    <cellStyle name="Input 2" xfId="57" xr:uid="{00000000-0005-0000-0000-000031000000}"/>
    <cellStyle name="Input 2 2" xfId="68" xr:uid="{00000000-0005-0000-0000-000032000000}"/>
    <cellStyle name="Input 2 2 2" xfId="89" xr:uid="{00000000-0005-0000-0000-000033000000}"/>
    <cellStyle name="Input 2 2 2 2" xfId="107" xr:uid="{00000000-0005-0000-0000-000034000000}"/>
    <cellStyle name="Input 2 2 3" xfId="81" xr:uid="{00000000-0005-0000-0000-000035000000}"/>
    <cellStyle name="Input 2 3" xfId="77" xr:uid="{00000000-0005-0000-0000-000036000000}"/>
    <cellStyle name="Input 2 3 2" xfId="101" xr:uid="{00000000-0005-0000-0000-000037000000}"/>
    <cellStyle name="Input 2 4" xfId="83" xr:uid="{00000000-0005-0000-0000-000038000000}"/>
    <cellStyle name="Input 3" xfId="43" xr:uid="{00000000-0005-0000-0000-000039000000}"/>
    <cellStyle name="Input 3 2" xfId="96" xr:uid="{00000000-0005-0000-0000-00003A000000}"/>
    <cellStyle name="Linked Cell 2" xfId="44" xr:uid="{00000000-0005-0000-0000-00003B000000}"/>
    <cellStyle name="Neutral 2" xfId="45" xr:uid="{00000000-0005-0000-0000-00003C000000}"/>
    <cellStyle name="Normal" xfId="0" builtinId="0"/>
    <cellStyle name="Normal 2" xfId="3" xr:uid="{00000000-0005-0000-0000-00003E000000}"/>
    <cellStyle name="Normal 2 2" xfId="60" xr:uid="{00000000-0005-0000-0000-00003F000000}"/>
    <cellStyle name="Normal 2 3" xfId="51" xr:uid="{00000000-0005-0000-0000-000040000000}"/>
    <cellStyle name="Normal 2 5" xfId="72" xr:uid="{00000000-0005-0000-0000-000041000000}"/>
    <cellStyle name="Normal 3" xfId="4" xr:uid="{00000000-0005-0000-0000-000042000000}"/>
    <cellStyle name="Normal 3 2" xfId="52" xr:uid="{00000000-0005-0000-0000-000043000000}"/>
    <cellStyle name="Normal 3 3" xfId="93" xr:uid="{00000000-0005-0000-0000-000044000000}"/>
    <cellStyle name="Normal 4" xfId="53" xr:uid="{00000000-0005-0000-0000-000045000000}"/>
    <cellStyle name="Normal 4 2" xfId="6" xr:uid="{00000000-0005-0000-0000-000046000000}"/>
    <cellStyle name="Normal 5" xfId="55" xr:uid="{00000000-0005-0000-0000-000047000000}"/>
    <cellStyle name="Normal 6" xfId="5" xr:uid="{00000000-0005-0000-0000-000048000000}"/>
    <cellStyle name="Normal 6 2" xfId="70" xr:uid="{00000000-0005-0000-0000-000049000000}"/>
    <cellStyle name="Normal 6 2 2 2 2" xfId="109" xr:uid="{FD28C9F7-515F-499B-8ABB-8589576C39A7}"/>
    <cellStyle name="Normal 6 4" xfId="110" xr:uid="{3A577460-7261-4948-B8F6-A17ED807EDB0}"/>
    <cellStyle name="Normal 7" xfId="7" xr:uid="{00000000-0005-0000-0000-00004A000000}"/>
    <cellStyle name="Normal 7 2" xfId="94" xr:uid="{00000000-0005-0000-0000-00004B000000}"/>
    <cellStyle name="Normal 8" xfId="80" xr:uid="{00000000-0005-0000-0000-00004C000000}"/>
    <cellStyle name="Normal 8 2" xfId="104" xr:uid="{00000000-0005-0000-0000-00004D000000}"/>
    <cellStyle name="Normal_EEs with Aramark" xfId="75" xr:uid="{00000000-0005-0000-0000-00004E000000}"/>
    <cellStyle name="Note 2" xfId="46" xr:uid="{00000000-0005-0000-0000-00004F000000}"/>
    <cellStyle name="Note 2 2" xfId="97" xr:uid="{00000000-0005-0000-0000-000050000000}"/>
    <cellStyle name="Note 3" xfId="73" xr:uid="{00000000-0005-0000-0000-000051000000}"/>
    <cellStyle name="Output 2" xfId="58" xr:uid="{00000000-0005-0000-0000-000052000000}"/>
    <cellStyle name="Output 2 2" xfId="67" xr:uid="{00000000-0005-0000-0000-000053000000}"/>
    <cellStyle name="Output 2 2 2" xfId="88" xr:uid="{00000000-0005-0000-0000-000054000000}"/>
    <cellStyle name="Output 2 2 2 2" xfId="106" xr:uid="{00000000-0005-0000-0000-000055000000}"/>
    <cellStyle name="Output 2 2 3" xfId="91" xr:uid="{00000000-0005-0000-0000-000056000000}"/>
    <cellStyle name="Output 2 3" xfId="78" xr:uid="{00000000-0005-0000-0000-000057000000}"/>
    <cellStyle name="Output 2 3 2" xfId="102" xr:uid="{00000000-0005-0000-0000-000058000000}"/>
    <cellStyle name="Output 2 4" xfId="84" xr:uid="{00000000-0005-0000-0000-000059000000}"/>
    <cellStyle name="Output 3" xfId="47" xr:uid="{00000000-0005-0000-0000-00005A000000}"/>
    <cellStyle name="Output 3 2" xfId="98" xr:uid="{00000000-0005-0000-0000-00005B000000}"/>
    <cellStyle name="Percent" xfId="74" builtinId="5"/>
    <cellStyle name="Percent 2" xfId="61" xr:uid="{00000000-0005-0000-0000-00005D000000}"/>
    <cellStyle name="Percent 3" xfId="65" xr:uid="{00000000-0005-0000-0000-00005E000000}"/>
    <cellStyle name="Percent 3 2" xfId="71" xr:uid="{00000000-0005-0000-0000-00005F000000}"/>
    <cellStyle name="Percent 4" xfId="54" xr:uid="{00000000-0005-0000-0000-000060000000}"/>
    <cellStyle name="Title 2" xfId="48" xr:uid="{00000000-0005-0000-0000-000061000000}"/>
    <cellStyle name="Total 2" xfId="59" xr:uid="{00000000-0005-0000-0000-000062000000}"/>
    <cellStyle name="Total 2 2" xfId="66" xr:uid="{00000000-0005-0000-0000-000063000000}"/>
    <cellStyle name="Total 2 2 2" xfId="87" xr:uid="{00000000-0005-0000-0000-000064000000}"/>
    <cellStyle name="Total 2 2 2 2" xfId="105" xr:uid="{00000000-0005-0000-0000-000065000000}"/>
    <cellStyle name="Total 2 2 3" xfId="86" xr:uid="{00000000-0005-0000-0000-000066000000}"/>
    <cellStyle name="Total 2 3" xfId="79" xr:uid="{00000000-0005-0000-0000-000067000000}"/>
    <cellStyle name="Total 2 3 2" xfId="103" xr:uid="{00000000-0005-0000-0000-000068000000}"/>
    <cellStyle name="Total 2 4" xfId="85" xr:uid="{00000000-0005-0000-0000-000069000000}"/>
    <cellStyle name="Total 3" xfId="49" xr:uid="{00000000-0005-0000-0000-00006A000000}"/>
    <cellStyle name="Total 3 2" xfId="99" xr:uid="{00000000-0005-0000-0000-00006B000000}"/>
    <cellStyle name="Warning Text 2" xfId="50" xr:uid="{00000000-0005-0000-0000-00006C000000}"/>
  </cellStyles>
  <dxfs count="11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theme="4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499984740745262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1" defaultTableStyle="TableStyleMedium2" defaultPivotStyle="PivotStyleLight16">
    <tableStyle name="Home Inventory Table" pivot="0" count="7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  <tableStyleElement type="firstTotalCell" dxfId="4"/>
    </tableStyle>
  </tableStyles>
  <colors>
    <mruColors>
      <color rgb="FFFFFFCC"/>
      <color rgb="FFFFCC00"/>
      <color rgb="FFFFFFFF"/>
      <color rgb="FFF0D3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5</xdr:row>
      <xdr:rowOff>131445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82880"/>
          <a:ext cx="4154805" cy="8991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843915</xdr:colOff>
      <xdr:row>4</xdr:row>
      <xdr:rowOff>164465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815340</xdr:colOff>
      <xdr:row>4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874607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942340</xdr:colOff>
      <xdr:row>4</xdr:row>
      <xdr:rowOff>161290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942340</xdr:colOff>
      <xdr:row>4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3493770" cy="7086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849207</xdr:colOff>
      <xdr:row>4</xdr:row>
      <xdr:rowOff>161290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4</xdr:col>
      <xdr:colOff>980017</xdr:colOff>
      <xdr:row>4</xdr:row>
      <xdr:rowOff>55245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95250"/>
          <a:ext cx="3425190" cy="7315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4</xdr:col>
      <xdr:colOff>1059815</xdr:colOff>
      <xdr:row>4</xdr:row>
      <xdr:rowOff>97155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33350"/>
          <a:ext cx="3425190" cy="7315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4</xdr:col>
      <xdr:colOff>1059815</xdr:colOff>
      <xdr:row>4</xdr:row>
      <xdr:rowOff>93345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30A8E-0C5F-48A4-80B0-C99D39A244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29540"/>
          <a:ext cx="3501390" cy="687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423333</xdr:colOff>
      <xdr:row>1</xdr:row>
      <xdr:rowOff>25400</xdr:rowOff>
    </xdr:from>
    <xdr:to>
      <xdr:col>7</xdr:col>
      <xdr:colOff>321733</xdr:colOff>
      <xdr:row>3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3" y="220133"/>
          <a:ext cx="3115733" cy="5249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861907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5</xdr:col>
      <xdr:colOff>792480</xdr:colOff>
      <xdr:row>4</xdr:row>
      <xdr:rowOff>53340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83820"/>
          <a:ext cx="3482340" cy="701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403860</xdr:colOff>
      <xdr:row>0</xdr:row>
      <xdr:rowOff>60960</xdr:rowOff>
    </xdr:from>
    <xdr:to>
      <xdr:col>4</xdr:col>
      <xdr:colOff>704850</xdr:colOff>
      <xdr:row>4</xdr:row>
      <xdr:rowOff>20955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" y="60960"/>
          <a:ext cx="3482340" cy="70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843915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869315</xdr:colOff>
      <xdr:row>4</xdr:row>
      <xdr:rowOff>164465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877782</xdr:colOff>
      <xdr:row>4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818515</xdr:colOff>
      <xdr:row>4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342519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workbookViewId="0">
      <selection activeCell="C5" sqref="C5"/>
    </sheetView>
  </sheetViews>
  <sheetFormatPr defaultRowHeight="14.4" x14ac:dyDescent="0.3"/>
  <cols>
    <col min="1" max="1" width="15.44140625" customWidth="1"/>
    <col min="2" max="2" width="48.5546875" customWidth="1"/>
    <col min="3" max="3" width="17.44140625" customWidth="1"/>
  </cols>
  <sheetData>
    <row r="1" spans="1:3" x14ac:dyDescent="0.3">
      <c r="A1" s="92"/>
      <c r="B1" s="92"/>
      <c r="C1" s="92"/>
    </row>
    <row r="2" spans="1:3" ht="23.4" x14ac:dyDescent="0.45">
      <c r="A2" s="92"/>
      <c r="B2" s="166" t="s">
        <v>134</v>
      </c>
      <c r="C2" s="92"/>
    </row>
    <row r="3" spans="1:3" ht="17.399999999999999" x14ac:dyDescent="0.3">
      <c r="A3" s="92"/>
      <c r="B3" s="92"/>
      <c r="C3" s="98"/>
    </row>
    <row r="4" spans="1:3" ht="15.6" x14ac:dyDescent="0.3">
      <c r="A4" s="100" t="str">
        <f>'DOC Invoice'!B20</f>
        <v>Period Starting August-01-2023 to August-31-2023</v>
      </c>
      <c r="B4" s="92"/>
      <c r="C4" s="165"/>
    </row>
    <row r="5" spans="1:3" ht="15" thickBot="1" x14ac:dyDescent="0.35">
      <c r="A5" s="92"/>
      <c r="B5" s="103"/>
      <c r="C5" s="105">
        <v>0.06</v>
      </c>
    </row>
    <row r="6" spans="1:3" ht="16.2" thickBot="1" x14ac:dyDescent="0.35">
      <c r="A6" s="107" t="s">
        <v>8</v>
      </c>
      <c r="B6" s="108" t="s">
        <v>39</v>
      </c>
      <c r="C6" s="112" t="s">
        <v>87</v>
      </c>
    </row>
    <row r="7" spans="1:3" ht="18" x14ac:dyDescent="0.35">
      <c r="A7" s="102" t="s">
        <v>53</v>
      </c>
      <c r="B7" s="114" t="s">
        <v>9</v>
      </c>
      <c r="C7" s="74" t="e">
        <f>'Week 1'!G9+'Week 2'!G9+'Week 3'!G9+'Week 4'!G9+'Week 5'!G9</f>
        <v>#REF!</v>
      </c>
    </row>
    <row r="8" spans="1:3" ht="18" x14ac:dyDescent="0.35">
      <c r="A8" s="102" t="s">
        <v>54</v>
      </c>
      <c r="B8" s="115" t="s">
        <v>17</v>
      </c>
      <c r="C8" s="78" t="e">
        <f>'Week 1'!G10+'Week 2'!G10+'Week 3'!G10+'Week 4'!G10+'Week 5'!G10</f>
        <v>#REF!</v>
      </c>
    </row>
    <row r="9" spans="1:3" ht="18" x14ac:dyDescent="0.35">
      <c r="A9" s="102" t="s">
        <v>55</v>
      </c>
      <c r="B9" s="116" t="s">
        <v>18</v>
      </c>
      <c r="C9" s="78" t="e">
        <f>'Week 1'!G11+'Week 2'!G11+'Week 3'!G11+'Week 4'!G11+'Week 5'!G11</f>
        <v>#REF!</v>
      </c>
    </row>
    <row r="10" spans="1:3" ht="18" x14ac:dyDescent="0.35">
      <c r="A10" s="102" t="s">
        <v>56</v>
      </c>
      <c r="B10" s="116" t="s">
        <v>19</v>
      </c>
      <c r="C10" s="78" t="e">
        <f>'Week 1'!G12+'Week 2'!G12+'Week 3'!G12+'Week 4'!G12+'Week 5'!G12</f>
        <v>#REF!</v>
      </c>
    </row>
    <row r="11" spans="1:3" ht="18" x14ac:dyDescent="0.35">
      <c r="A11" s="102" t="s">
        <v>57</v>
      </c>
      <c r="B11" s="116" t="s">
        <v>20</v>
      </c>
      <c r="C11" s="78" t="e">
        <f>'Week 1'!G13+'Week 2'!G13+'Week 3'!G13+'Week 4'!G13+'Week 5'!G13</f>
        <v>#REF!</v>
      </c>
    </row>
    <row r="12" spans="1:3" ht="18" x14ac:dyDescent="0.35">
      <c r="A12" s="102" t="s">
        <v>58</v>
      </c>
      <c r="B12" s="116" t="s">
        <v>21</v>
      </c>
      <c r="C12" s="78" t="e">
        <f>'Week 1'!G14+'Week 2'!G14+'Week 3'!G14+'Week 4'!G14+'Week 5'!G14</f>
        <v>#REF!</v>
      </c>
    </row>
    <row r="13" spans="1:3" ht="18" x14ac:dyDescent="0.35">
      <c r="A13" s="102" t="s">
        <v>59</v>
      </c>
      <c r="B13" s="115" t="s">
        <v>22</v>
      </c>
      <c r="C13" s="78" t="e">
        <f>'Week 1'!G15+'Week 2'!G15+'Week 3'!G15+'Week 4'!G15+'Week 5'!G15</f>
        <v>#REF!</v>
      </c>
    </row>
    <row r="14" spans="1:3" ht="18" x14ac:dyDescent="0.35">
      <c r="A14" s="117" t="s">
        <v>91</v>
      </c>
      <c r="B14" s="115" t="s">
        <v>90</v>
      </c>
      <c r="C14" s="78" t="e">
        <f>'Week 1'!G16+'Week 2'!G16+'Week 3'!G16+'Week 4'!G16+'Week 5'!G16</f>
        <v>#REF!</v>
      </c>
    </row>
    <row r="15" spans="1:3" ht="18" x14ac:dyDescent="0.35">
      <c r="A15" s="102" t="s">
        <v>60</v>
      </c>
      <c r="B15" s="116" t="s">
        <v>23</v>
      </c>
      <c r="C15" s="78" t="e">
        <f>'Week 1'!G17+'Week 2'!G17+'Week 3'!G17+'Week 4'!G17+'Week 5'!G17</f>
        <v>#REF!</v>
      </c>
    </row>
    <row r="16" spans="1:3" ht="18" x14ac:dyDescent="0.35">
      <c r="A16" s="102" t="s">
        <v>61</v>
      </c>
      <c r="B16" s="115" t="s">
        <v>24</v>
      </c>
      <c r="C16" s="78" t="e">
        <f>'Week 1'!G18+'Week 2'!G18+'Week 3'!G18+'Week 4'!G18+'Week 5'!G18</f>
        <v>#REF!</v>
      </c>
    </row>
    <row r="17" spans="1:3" ht="18" x14ac:dyDescent="0.35">
      <c r="A17" s="102" t="s">
        <v>62</v>
      </c>
      <c r="B17" s="115" t="s">
        <v>25</v>
      </c>
      <c r="C17" s="78" t="e">
        <f>'Week 1'!G19+'Week 2'!G19+'Week 3'!G19+'Week 4'!G19+'Week 5'!G19</f>
        <v>#REF!</v>
      </c>
    </row>
    <row r="18" spans="1:3" ht="18" x14ac:dyDescent="0.35">
      <c r="A18" s="102" t="s">
        <v>63</v>
      </c>
      <c r="B18" s="118" t="s">
        <v>26</v>
      </c>
      <c r="C18" s="78" t="e">
        <f>'Week 1'!G20+'Week 2'!G20+'Week 3'!G20+'Week 4'!G20+'Week 5'!G20</f>
        <v>#REF!</v>
      </c>
    </row>
    <row r="19" spans="1:3" ht="18" x14ac:dyDescent="0.35">
      <c r="A19" s="102" t="s">
        <v>64</v>
      </c>
      <c r="B19" s="115" t="s">
        <v>27</v>
      </c>
      <c r="C19" s="78" t="e">
        <f>'Week 1'!G21+'Week 2'!G21+'Week 3'!G21+'Week 4'!G21+'Week 5'!G21</f>
        <v>#REF!</v>
      </c>
    </row>
    <row r="20" spans="1:3" ht="18" x14ac:dyDescent="0.35">
      <c r="A20" s="102" t="s">
        <v>65</v>
      </c>
      <c r="B20" s="116" t="s">
        <v>28</v>
      </c>
      <c r="C20" s="78" t="e">
        <f>'Week 1'!G22+'Week 2'!G22+'Week 3'!G22+'Week 4'!G22+'Week 5'!G22</f>
        <v>#REF!</v>
      </c>
    </row>
    <row r="21" spans="1:3" ht="18" x14ac:dyDescent="0.35">
      <c r="A21" s="102" t="s">
        <v>66</v>
      </c>
      <c r="B21" s="115" t="s">
        <v>29</v>
      </c>
      <c r="C21" s="78" t="e">
        <f>'Week 1'!G23+'Week 2'!G23+'Week 3'!G23+'Week 4'!G23+'Week 5'!G23</f>
        <v>#REF!</v>
      </c>
    </row>
    <row r="22" spans="1:3" ht="18" x14ac:dyDescent="0.35">
      <c r="A22" s="102" t="s">
        <v>67</v>
      </c>
      <c r="B22" s="116" t="s">
        <v>86</v>
      </c>
      <c r="C22" s="78" t="e">
        <f>'Week 1'!G24+'Week 2'!G24+'Week 3'!G24+'Week 4'!G24+'Week 5'!G24</f>
        <v>#REF!</v>
      </c>
    </row>
    <row r="23" spans="1:3" ht="18" x14ac:dyDescent="0.35">
      <c r="A23" s="102" t="s">
        <v>68</v>
      </c>
      <c r="B23" s="115" t="s">
        <v>30</v>
      </c>
      <c r="C23" s="78" t="e">
        <f>'Week 1'!G25+'Week 2'!G25+'Week 3'!G25+'Week 4'!G25+'Week 5'!G25</f>
        <v>#REF!</v>
      </c>
    </row>
    <row r="24" spans="1:3" ht="18" x14ac:dyDescent="0.35">
      <c r="A24" s="102" t="s">
        <v>69</v>
      </c>
      <c r="B24" s="115" t="s">
        <v>31</v>
      </c>
      <c r="C24" s="78" t="e">
        <f>'Week 1'!G26+'Week 2'!G26+'Week 3'!G26+'Week 4'!G26+'Week 5'!G26</f>
        <v>#REF!</v>
      </c>
    </row>
    <row r="25" spans="1:3" ht="18" x14ac:dyDescent="0.35">
      <c r="A25" s="102" t="s">
        <v>70</v>
      </c>
      <c r="B25" s="116" t="s">
        <v>32</v>
      </c>
      <c r="C25" s="78" t="e">
        <f>'Week 1'!G27+'Week 2'!G27+'Week 3'!G27+'Week 4'!G27+'Week 5'!G27</f>
        <v>#REF!</v>
      </c>
    </row>
    <row r="26" spans="1:3" ht="18" x14ac:dyDescent="0.35">
      <c r="A26" s="102" t="s">
        <v>71</v>
      </c>
      <c r="B26" s="116" t="s">
        <v>33</v>
      </c>
      <c r="C26" s="78" t="e">
        <f>'Week 1'!G28+'Week 2'!G28+'Week 3'!G28+'Week 4'!G28+'Week 5'!G28</f>
        <v>#REF!</v>
      </c>
    </row>
    <row r="27" spans="1:3" ht="18" x14ac:dyDescent="0.35">
      <c r="A27" s="102" t="s">
        <v>72</v>
      </c>
      <c r="B27" s="116" t="s">
        <v>34</v>
      </c>
      <c r="C27" s="78" t="e">
        <f>'Week 1'!G29+'Week 2'!G29+'Week 3'!G29+'Week 4'!G29+'Week 5'!G29</f>
        <v>#REF!</v>
      </c>
    </row>
    <row r="28" spans="1:3" ht="18" x14ac:dyDescent="0.35">
      <c r="A28" s="102" t="s">
        <v>73</v>
      </c>
      <c r="B28" s="115" t="s">
        <v>85</v>
      </c>
      <c r="C28" s="78" t="e">
        <f>'Week 1'!G30+'Week 2'!G30+'Week 3'!G30+'Week 4'!G30+'Week 5'!G30</f>
        <v>#REF!</v>
      </c>
    </row>
    <row r="29" spans="1:3" ht="18" x14ac:dyDescent="0.35">
      <c r="A29" s="102" t="s">
        <v>74</v>
      </c>
      <c r="B29" s="115" t="s">
        <v>35</v>
      </c>
      <c r="C29" s="78" t="e">
        <f>'Week 1'!G31+'Week 2'!G31+'Week 3'!G31+'Week 4'!G31+'Week 5'!G31</f>
        <v>#REF!</v>
      </c>
    </row>
    <row r="30" spans="1:3" ht="18" x14ac:dyDescent="0.35">
      <c r="A30" s="102" t="s">
        <v>75</v>
      </c>
      <c r="B30" s="115" t="s">
        <v>36</v>
      </c>
      <c r="C30" s="78" t="e">
        <f>'Week 1'!G32+'Week 2'!G32+'Week 3'!G32+'Week 4'!G32+'Week 5'!G32</f>
        <v>#REF!</v>
      </c>
    </row>
    <row r="31" spans="1:3" ht="18" x14ac:dyDescent="0.35">
      <c r="A31" s="102" t="s">
        <v>76</v>
      </c>
      <c r="B31" s="115" t="s">
        <v>37</v>
      </c>
      <c r="C31" s="78" t="e">
        <f>'Week 1'!G33+'Week 2'!G33+'Week 3'!G33+'Week 4'!G33+'Week 5'!G33</f>
        <v>#REF!</v>
      </c>
    </row>
    <row r="32" spans="1:3" ht="18" x14ac:dyDescent="0.35">
      <c r="A32" s="102" t="s">
        <v>77</v>
      </c>
      <c r="B32" s="119" t="s">
        <v>38</v>
      </c>
      <c r="C32" s="78" t="e">
        <f>'Week 1'!G34+'Week 2'!G34+'Week 3'!G34+'Week 4'!G34+'Week 5'!G34</f>
        <v>#REF!</v>
      </c>
    </row>
    <row r="33" spans="1:3" x14ac:dyDescent="0.3">
      <c r="A33" s="92"/>
      <c r="B33" s="120"/>
      <c r="C33" s="121"/>
    </row>
    <row r="34" spans="1:3" ht="15" thickBot="1" x14ac:dyDescent="0.35">
      <c r="A34" s="92"/>
      <c r="B34" s="121" t="s">
        <v>41</v>
      </c>
      <c r="C34" s="164" t="e">
        <f>SUM(C7:C32)</f>
        <v>#REF!</v>
      </c>
    </row>
    <row r="35" spans="1:3" ht="15.6" thickTop="1" thickBot="1" x14ac:dyDescent="0.35">
      <c r="A35" s="92"/>
      <c r="B35" s="124"/>
      <c r="C35" s="30"/>
    </row>
    <row r="36" spans="1:3" x14ac:dyDescent="0.3">
      <c r="B36" s="12"/>
      <c r="C36" s="13"/>
    </row>
    <row r="37" spans="1:3" ht="16.2" x14ac:dyDescent="0.35">
      <c r="B37" s="15"/>
      <c r="C37" s="16"/>
    </row>
    <row r="38" spans="1:3" x14ac:dyDescent="0.3">
      <c r="B38" s="18"/>
      <c r="C38" s="19"/>
    </row>
    <row r="39" spans="1:3" x14ac:dyDescent="0.3">
      <c r="B39" s="4"/>
      <c r="C39" s="23"/>
    </row>
    <row r="40" spans="1:3" x14ac:dyDescent="0.3">
      <c r="B40" s="4"/>
      <c r="C40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5:N59"/>
  <sheetViews>
    <sheetView showGridLines="0" topLeftCell="A33" zoomScale="90" zoomScaleNormal="90" workbookViewId="0">
      <selection activeCell="K20" sqref="K20:K26"/>
    </sheetView>
  </sheetViews>
  <sheetFormatPr defaultRowHeight="14.4" x14ac:dyDescent="0.3"/>
  <cols>
    <col min="2" max="2" width="8" customWidth="1"/>
    <col min="3" max="3" width="12.44140625" customWidth="1"/>
    <col min="4" max="9" width="18" customWidth="1"/>
    <col min="10" max="10" width="18.5546875" customWidth="1"/>
    <col min="11" max="11" width="15.5546875" bestFit="1" customWidth="1"/>
    <col min="12" max="12" width="11.44140625" customWidth="1"/>
    <col min="16" max="16" width="3.44140625" customWidth="1"/>
    <col min="18" max="18" width="3.44140625" customWidth="1"/>
    <col min="20" max="21" width="13.8867187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138</v>
      </c>
      <c r="H6" s="879"/>
      <c r="I6" s="879"/>
      <c r="J6" s="879"/>
      <c r="K6" s="181"/>
      <c r="L6" s="181"/>
      <c r="M6" s="181"/>
    </row>
    <row r="7" spans="2:14" ht="15.6" x14ac:dyDescent="0.3">
      <c r="B7" s="43" t="s">
        <v>14</v>
      </c>
      <c r="C7" s="45">
        <f>'DOC Invoice'!J3</f>
        <v>45139</v>
      </c>
      <c r="K7" s="200"/>
    </row>
    <row r="8" spans="2:14" x14ac:dyDescent="0.3">
      <c r="B8" s="43" t="s">
        <v>15</v>
      </c>
      <c r="C8" s="45">
        <f>'DOC Invoice'!J4</f>
        <v>45169</v>
      </c>
      <c r="I8" s="187"/>
      <c r="J8" s="53" t="s">
        <v>137</v>
      </c>
    </row>
    <row r="9" spans="2:14" ht="9" customHeight="1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ht="15" thickBot="1" x14ac:dyDescent="0.35">
      <c r="C11" s="36">
        <f>C7</f>
        <v>45139</v>
      </c>
      <c r="D11" s="500">
        <v>4850</v>
      </c>
      <c r="E11" s="500">
        <v>90</v>
      </c>
      <c r="F11" s="500">
        <v>210</v>
      </c>
      <c r="G11" s="500">
        <v>0</v>
      </c>
      <c r="H11" s="500">
        <v>190</v>
      </c>
      <c r="I11" s="774">
        <v>76</v>
      </c>
      <c r="J11" s="499">
        <f>SUM(D11:I11)</f>
        <v>5416</v>
      </c>
      <c r="K11" s="506">
        <f>(SUM(D11:H11)*1.98)+(I11*2.06)</f>
        <v>10729.76</v>
      </c>
      <c r="L11" s="881"/>
      <c r="M11" s="882"/>
      <c r="N11" s="35"/>
    </row>
    <row r="12" spans="2:14" ht="15" thickBot="1" x14ac:dyDescent="0.35">
      <c r="C12" s="36">
        <f>IF(C11+1&lt;=$C$8,C11+1,0)</f>
        <v>45140</v>
      </c>
      <c r="D12" s="500">
        <v>5062</v>
      </c>
      <c r="E12" s="500">
        <v>90</v>
      </c>
      <c r="F12" s="500">
        <v>212</v>
      </c>
      <c r="G12" s="500">
        <v>0</v>
      </c>
      <c r="H12" s="500">
        <v>208</v>
      </c>
      <c r="I12" s="773">
        <v>82</v>
      </c>
      <c r="J12" s="499">
        <f t="shared" ref="J12:J40" si="0">SUM(D12:I12)</f>
        <v>5654</v>
      </c>
      <c r="K12" s="506">
        <f t="shared" ref="K12:K41" si="1">(SUM(D12:H12)*1.98)+(I12*2.06)</f>
        <v>11201.48</v>
      </c>
      <c r="L12" s="881"/>
      <c r="M12" s="882"/>
    </row>
    <row r="13" spans="2:14" ht="15" thickBot="1" x14ac:dyDescent="0.35">
      <c r="C13" s="36">
        <f t="shared" ref="C13:C41" si="2">IF(C12+1&lt;=$C$8,C12+1,0)</f>
        <v>45141</v>
      </c>
      <c r="D13" s="500">
        <v>4967</v>
      </c>
      <c r="E13" s="500">
        <v>95</v>
      </c>
      <c r="F13" s="500">
        <v>216</v>
      </c>
      <c r="G13" s="500">
        <v>0</v>
      </c>
      <c r="H13" s="500">
        <v>188</v>
      </c>
      <c r="I13" s="773">
        <v>82</v>
      </c>
      <c r="J13" s="499">
        <f t="shared" si="0"/>
        <v>5548</v>
      </c>
      <c r="K13" s="506">
        <f t="shared" si="1"/>
        <v>10991.6</v>
      </c>
      <c r="L13" s="881"/>
      <c r="M13" s="882"/>
    </row>
    <row r="14" spans="2:14" ht="15" thickBot="1" x14ac:dyDescent="0.35">
      <c r="C14" s="36">
        <f t="shared" si="2"/>
        <v>45142</v>
      </c>
      <c r="D14" s="500">
        <v>4890</v>
      </c>
      <c r="E14" s="500">
        <v>100</v>
      </c>
      <c r="F14" s="500">
        <v>208</v>
      </c>
      <c r="G14" s="500">
        <v>0</v>
      </c>
      <c r="H14" s="500">
        <v>198</v>
      </c>
      <c r="I14" s="773">
        <v>181</v>
      </c>
      <c r="J14" s="499">
        <f t="shared" si="0"/>
        <v>5577</v>
      </c>
      <c r="K14" s="506">
        <f t="shared" si="1"/>
        <v>11056.94</v>
      </c>
      <c r="L14" s="3"/>
    </row>
    <row r="15" spans="2:14" ht="15" thickBot="1" x14ac:dyDescent="0.35">
      <c r="C15" s="36">
        <f t="shared" si="2"/>
        <v>45143</v>
      </c>
      <c r="D15" s="500">
        <v>3318</v>
      </c>
      <c r="E15" s="500">
        <v>68</v>
      </c>
      <c r="F15" s="500">
        <v>206</v>
      </c>
      <c r="G15" s="500">
        <v>0</v>
      </c>
      <c r="H15" s="500">
        <v>142</v>
      </c>
      <c r="I15" s="773">
        <v>28</v>
      </c>
      <c r="J15" s="499">
        <f t="shared" si="0"/>
        <v>3762</v>
      </c>
      <c r="K15" s="506">
        <f t="shared" si="1"/>
        <v>7451</v>
      </c>
    </row>
    <row r="16" spans="2:14" ht="15" thickBot="1" x14ac:dyDescent="0.35">
      <c r="C16" s="36">
        <f t="shared" si="2"/>
        <v>45144</v>
      </c>
      <c r="D16" s="500">
        <v>3164</v>
      </c>
      <c r="E16" s="500">
        <v>69</v>
      </c>
      <c r="F16" s="500">
        <v>211</v>
      </c>
      <c r="G16" s="500">
        <v>0</v>
      </c>
      <c r="H16" s="500">
        <v>141</v>
      </c>
      <c r="I16" s="773">
        <v>16</v>
      </c>
      <c r="J16" s="499">
        <f t="shared" si="0"/>
        <v>3601</v>
      </c>
      <c r="K16" s="506">
        <f t="shared" si="1"/>
        <v>7131.26</v>
      </c>
    </row>
    <row r="17" spans="3:11" ht="15" thickBot="1" x14ac:dyDescent="0.35">
      <c r="C17" s="36">
        <f t="shared" si="2"/>
        <v>45145</v>
      </c>
      <c r="D17" s="500">
        <v>5072</v>
      </c>
      <c r="E17" s="500">
        <v>102</v>
      </c>
      <c r="F17" s="500">
        <v>208</v>
      </c>
      <c r="G17" s="500">
        <v>0</v>
      </c>
      <c r="H17" s="500">
        <v>218</v>
      </c>
      <c r="I17" s="773">
        <v>230</v>
      </c>
      <c r="J17" s="499">
        <f t="shared" si="0"/>
        <v>5830</v>
      </c>
      <c r="K17" s="506">
        <f t="shared" si="1"/>
        <v>11561.8</v>
      </c>
    </row>
    <row r="18" spans="3:11" ht="15" thickBot="1" x14ac:dyDescent="0.35">
      <c r="C18" s="36">
        <f t="shared" si="2"/>
        <v>45146</v>
      </c>
      <c r="D18" s="500">
        <v>4243</v>
      </c>
      <c r="E18" s="500">
        <v>105</v>
      </c>
      <c r="F18" s="500">
        <v>210</v>
      </c>
      <c r="G18" s="500">
        <v>0</v>
      </c>
      <c r="H18" s="500">
        <v>239</v>
      </c>
      <c r="I18" s="773">
        <v>205</v>
      </c>
      <c r="J18" s="499">
        <f t="shared" si="0"/>
        <v>5002</v>
      </c>
      <c r="K18" s="506">
        <f t="shared" si="1"/>
        <v>9920.3599999999988</v>
      </c>
    </row>
    <row r="19" spans="3:11" ht="15" thickBot="1" x14ac:dyDescent="0.35">
      <c r="C19" s="36">
        <f t="shared" si="2"/>
        <v>45147</v>
      </c>
      <c r="D19" s="500">
        <v>5060</v>
      </c>
      <c r="E19" s="500">
        <v>105</v>
      </c>
      <c r="F19" s="500">
        <v>205</v>
      </c>
      <c r="G19" s="500">
        <v>0</v>
      </c>
      <c r="H19" s="500">
        <v>223</v>
      </c>
      <c r="I19" s="773">
        <v>187</v>
      </c>
      <c r="J19" s="499">
        <f t="shared" si="0"/>
        <v>5780</v>
      </c>
      <c r="K19" s="506">
        <f t="shared" si="1"/>
        <v>11459.359999999999</v>
      </c>
    </row>
    <row r="20" spans="3:11" ht="15" thickBot="1" x14ac:dyDescent="0.35">
      <c r="C20" s="36">
        <f t="shared" si="2"/>
        <v>45148</v>
      </c>
      <c r="D20" s="500">
        <v>4952</v>
      </c>
      <c r="E20" s="500">
        <v>98</v>
      </c>
      <c r="F20" s="500">
        <v>191</v>
      </c>
      <c r="G20" s="500">
        <v>0</v>
      </c>
      <c r="H20" s="500">
        <v>212</v>
      </c>
      <c r="I20" s="773">
        <v>99</v>
      </c>
      <c r="J20" s="499">
        <f t="shared" si="0"/>
        <v>5552</v>
      </c>
      <c r="K20" s="506">
        <f t="shared" si="1"/>
        <v>11000.880000000001</v>
      </c>
    </row>
    <row r="21" spans="3:11" ht="15" thickBot="1" x14ac:dyDescent="0.35">
      <c r="C21" s="36">
        <f t="shared" si="2"/>
        <v>45149</v>
      </c>
      <c r="D21" s="500">
        <v>4634</v>
      </c>
      <c r="E21" s="500">
        <v>102</v>
      </c>
      <c r="F21" s="500">
        <v>200</v>
      </c>
      <c r="G21" s="500">
        <v>0</v>
      </c>
      <c r="H21" s="500">
        <v>196</v>
      </c>
      <c r="I21" s="773">
        <v>175</v>
      </c>
      <c r="J21" s="499">
        <f t="shared" si="0"/>
        <v>5307</v>
      </c>
      <c r="K21" s="506">
        <f t="shared" si="1"/>
        <v>10521.86</v>
      </c>
    </row>
    <row r="22" spans="3:11" ht="15" thickBot="1" x14ac:dyDescent="0.35">
      <c r="C22" s="36">
        <f t="shared" si="2"/>
        <v>45150</v>
      </c>
      <c r="D22" s="500">
        <v>3241</v>
      </c>
      <c r="E22" s="500">
        <v>68</v>
      </c>
      <c r="F22" s="500">
        <v>201</v>
      </c>
      <c r="G22" s="500">
        <v>0</v>
      </c>
      <c r="H22" s="500">
        <v>142</v>
      </c>
      <c r="I22" s="773">
        <v>30</v>
      </c>
      <c r="J22" s="499">
        <f t="shared" si="0"/>
        <v>3682</v>
      </c>
      <c r="K22" s="506">
        <f t="shared" si="1"/>
        <v>7292.76</v>
      </c>
    </row>
    <row r="23" spans="3:11" ht="15" thickBot="1" x14ac:dyDescent="0.35">
      <c r="C23" s="36">
        <f t="shared" si="2"/>
        <v>45151</v>
      </c>
      <c r="D23" s="500">
        <v>3114</v>
      </c>
      <c r="E23" s="500">
        <v>67</v>
      </c>
      <c r="F23" s="500">
        <v>198</v>
      </c>
      <c r="G23" s="500">
        <v>0</v>
      </c>
      <c r="H23" s="500">
        <v>146</v>
      </c>
      <c r="I23" s="773">
        <v>10</v>
      </c>
      <c r="J23" s="499">
        <f t="shared" si="0"/>
        <v>3535</v>
      </c>
      <c r="K23" s="506">
        <f t="shared" si="1"/>
        <v>7000.1</v>
      </c>
    </row>
    <row r="24" spans="3:11" ht="15" thickBot="1" x14ac:dyDescent="0.35">
      <c r="C24" s="36">
        <f t="shared" si="2"/>
        <v>45152</v>
      </c>
      <c r="D24" s="500">
        <v>4794</v>
      </c>
      <c r="E24" s="500">
        <v>101</v>
      </c>
      <c r="F24" s="500">
        <v>202</v>
      </c>
      <c r="G24" s="500">
        <v>0</v>
      </c>
      <c r="H24" s="500">
        <v>236</v>
      </c>
      <c r="I24" s="773">
        <v>139</v>
      </c>
      <c r="J24" s="499">
        <f t="shared" si="0"/>
        <v>5472</v>
      </c>
      <c r="K24" s="506">
        <f t="shared" si="1"/>
        <v>10845.68</v>
      </c>
    </row>
    <row r="25" spans="3:11" ht="15" thickBot="1" x14ac:dyDescent="0.35">
      <c r="C25" s="36">
        <f t="shared" si="2"/>
        <v>45153</v>
      </c>
      <c r="D25" s="773">
        <v>5115</v>
      </c>
      <c r="E25" s="773">
        <v>102</v>
      </c>
      <c r="F25" s="773">
        <v>199</v>
      </c>
      <c r="G25" s="773">
        <v>0</v>
      </c>
      <c r="H25" s="773">
        <v>219</v>
      </c>
      <c r="I25" s="773">
        <v>92</v>
      </c>
      <c r="J25" s="499">
        <f t="shared" si="0"/>
        <v>5727</v>
      </c>
      <c r="K25" s="506">
        <f t="shared" si="1"/>
        <v>11346.82</v>
      </c>
    </row>
    <row r="26" spans="3:11" ht="15" thickBot="1" x14ac:dyDescent="0.35">
      <c r="C26" s="36">
        <f t="shared" si="2"/>
        <v>45154</v>
      </c>
      <c r="D26" s="773">
        <v>4911</v>
      </c>
      <c r="E26" s="773">
        <v>101</v>
      </c>
      <c r="F26" s="773">
        <v>205</v>
      </c>
      <c r="G26" s="773">
        <v>0</v>
      </c>
      <c r="H26" s="773">
        <v>199</v>
      </c>
      <c r="I26" s="773">
        <v>187</v>
      </c>
      <c r="J26" s="499">
        <f t="shared" si="0"/>
        <v>5603</v>
      </c>
      <c r="K26" s="506">
        <f t="shared" si="1"/>
        <v>11108.9</v>
      </c>
    </row>
    <row r="27" spans="3:11" ht="15" thickBot="1" x14ac:dyDescent="0.35">
      <c r="C27" s="36">
        <f t="shared" si="2"/>
        <v>45155</v>
      </c>
      <c r="D27" s="773">
        <v>4936</v>
      </c>
      <c r="E27" s="773">
        <v>89</v>
      </c>
      <c r="F27" s="773">
        <v>193</v>
      </c>
      <c r="G27" s="773">
        <v>0</v>
      </c>
      <c r="H27" s="773">
        <v>215</v>
      </c>
      <c r="I27" s="773">
        <v>93</v>
      </c>
      <c r="J27" s="499">
        <f t="shared" si="0"/>
        <v>5526</v>
      </c>
      <c r="K27" s="506">
        <f t="shared" si="1"/>
        <v>10948.92</v>
      </c>
    </row>
    <row r="28" spans="3:11" ht="15" thickBot="1" x14ac:dyDescent="0.35">
      <c r="C28" s="36">
        <f t="shared" si="2"/>
        <v>45156</v>
      </c>
      <c r="D28" s="773">
        <v>4921</v>
      </c>
      <c r="E28" s="773">
        <v>90</v>
      </c>
      <c r="F28" s="773">
        <v>194</v>
      </c>
      <c r="G28" s="773">
        <v>0</v>
      </c>
      <c r="H28" s="773">
        <v>177</v>
      </c>
      <c r="I28" s="773">
        <v>190</v>
      </c>
      <c r="J28" s="499">
        <f t="shared" si="0"/>
        <v>5572</v>
      </c>
      <c r="K28" s="506">
        <f t="shared" si="1"/>
        <v>11047.76</v>
      </c>
    </row>
    <row r="29" spans="3:11" ht="15" thickBot="1" x14ac:dyDescent="0.35">
      <c r="C29" s="36">
        <f t="shared" si="2"/>
        <v>45157</v>
      </c>
      <c r="D29" s="773">
        <v>3466</v>
      </c>
      <c r="E29" s="773">
        <v>58</v>
      </c>
      <c r="F29" s="773">
        <v>204</v>
      </c>
      <c r="G29" s="773">
        <v>0</v>
      </c>
      <c r="H29" s="773">
        <v>148</v>
      </c>
      <c r="I29" s="773">
        <v>30</v>
      </c>
      <c r="J29" s="499">
        <f t="shared" si="0"/>
        <v>3906</v>
      </c>
      <c r="K29" s="506">
        <f t="shared" si="1"/>
        <v>7736.28</v>
      </c>
    </row>
    <row r="30" spans="3:11" ht="15" thickBot="1" x14ac:dyDescent="0.35">
      <c r="C30" s="36">
        <f t="shared" si="2"/>
        <v>45158</v>
      </c>
      <c r="D30" s="773">
        <v>3334</v>
      </c>
      <c r="E30" s="773">
        <v>58</v>
      </c>
      <c r="F30" s="773">
        <v>205</v>
      </c>
      <c r="G30" s="773">
        <v>0</v>
      </c>
      <c r="H30" s="773">
        <v>132</v>
      </c>
      <c r="I30" s="773">
        <v>11</v>
      </c>
      <c r="J30" s="499">
        <f t="shared" si="0"/>
        <v>3740</v>
      </c>
      <c r="K30" s="506">
        <f t="shared" si="1"/>
        <v>7406.08</v>
      </c>
    </row>
    <row r="31" spans="3:11" ht="15" thickBot="1" x14ac:dyDescent="0.35">
      <c r="C31" s="36">
        <f t="shared" si="2"/>
        <v>45159</v>
      </c>
      <c r="D31" s="773">
        <v>5078</v>
      </c>
      <c r="E31" s="773">
        <v>87</v>
      </c>
      <c r="F31" s="773">
        <v>208</v>
      </c>
      <c r="G31" s="773">
        <v>0</v>
      </c>
      <c r="H31" s="773">
        <v>217</v>
      </c>
      <c r="I31" s="773">
        <v>177</v>
      </c>
      <c r="J31" s="499">
        <f t="shared" si="0"/>
        <v>5767</v>
      </c>
      <c r="K31" s="506">
        <f t="shared" si="1"/>
        <v>11432.820000000002</v>
      </c>
    </row>
    <row r="32" spans="3:11" ht="15" thickBot="1" x14ac:dyDescent="0.35">
      <c r="C32" s="36">
        <f t="shared" si="2"/>
        <v>45160</v>
      </c>
      <c r="D32" s="773">
        <v>5083</v>
      </c>
      <c r="E32" s="773">
        <v>88</v>
      </c>
      <c r="F32" s="773">
        <v>218</v>
      </c>
      <c r="G32" s="773">
        <v>0</v>
      </c>
      <c r="H32" s="773">
        <v>219</v>
      </c>
      <c r="I32" s="773">
        <v>115</v>
      </c>
      <c r="J32" s="499">
        <f t="shared" si="0"/>
        <v>5723</v>
      </c>
      <c r="K32" s="506">
        <f t="shared" si="1"/>
        <v>11340.74</v>
      </c>
    </row>
    <row r="33" spans="2:11" ht="15" thickBot="1" x14ac:dyDescent="0.35">
      <c r="C33" s="36">
        <f t="shared" si="2"/>
        <v>45161</v>
      </c>
      <c r="D33" s="773">
        <v>4665</v>
      </c>
      <c r="E33" s="773">
        <v>90</v>
      </c>
      <c r="F33" s="773">
        <v>210</v>
      </c>
      <c r="G33" s="773">
        <v>0</v>
      </c>
      <c r="H33" s="773">
        <v>213</v>
      </c>
      <c r="I33" s="773">
        <v>98</v>
      </c>
      <c r="J33" s="499">
        <f t="shared" si="0"/>
        <v>5276</v>
      </c>
      <c r="K33" s="506">
        <f t="shared" si="1"/>
        <v>10454.32</v>
      </c>
    </row>
    <row r="34" spans="2:11" ht="15" thickBot="1" x14ac:dyDescent="0.35">
      <c r="C34" s="36">
        <f t="shared" si="2"/>
        <v>45162</v>
      </c>
      <c r="D34" s="773">
        <v>4736</v>
      </c>
      <c r="E34" s="773">
        <v>89</v>
      </c>
      <c r="F34" s="773">
        <v>216</v>
      </c>
      <c r="G34" s="773">
        <v>0</v>
      </c>
      <c r="H34" s="773">
        <v>233</v>
      </c>
      <c r="I34" s="773">
        <v>113</v>
      </c>
      <c r="J34" s="499">
        <f t="shared" si="0"/>
        <v>5387</v>
      </c>
      <c r="K34" s="506">
        <f t="shared" si="1"/>
        <v>10675.300000000001</v>
      </c>
    </row>
    <row r="35" spans="2:11" ht="15" thickBot="1" x14ac:dyDescent="0.35">
      <c r="C35" s="36">
        <f t="shared" si="2"/>
        <v>45163</v>
      </c>
      <c r="D35" s="773">
        <v>4681</v>
      </c>
      <c r="E35" s="773">
        <v>88</v>
      </c>
      <c r="F35" s="773">
        <v>216</v>
      </c>
      <c r="G35" s="773">
        <v>0</v>
      </c>
      <c r="H35" s="773">
        <v>211</v>
      </c>
      <c r="I35" s="773">
        <v>196</v>
      </c>
      <c r="J35" s="499">
        <f t="shared" si="0"/>
        <v>5392</v>
      </c>
      <c r="K35" s="506">
        <f t="shared" si="1"/>
        <v>10691.84</v>
      </c>
    </row>
    <row r="36" spans="2:11" ht="15" thickBot="1" x14ac:dyDescent="0.35">
      <c r="C36" s="36">
        <f t="shared" si="2"/>
        <v>45164</v>
      </c>
      <c r="D36" s="773">
        <v>3276</v>
      </c>
      <c r="E36" s="773">
        <v>58</v>
      </c>
      <c r="F36" s="773">
        <v>219</v>
      </c>
      <c r="G36" s="773">
        <v>0</v>
      </c>
      <c r="H36" s="773">
        <v>197</v>
      </c>
      <c r="I36" s="773">
        <v>22</v>
      </c>
      <c r="J36" s="499">
        <f t="shared" si="0"/>
        <v>3772</v>
      </c>
      <c r="K36" s="506">
        <f t="shared" si="1"/>
        <v>7470.32</v>
      </c>
    </row>
    <row r="37" spans="2:11" ht="15" thickBot="1" x14ac:dyDescent="0.35">
      <c r="C37" s="36">
        <f t="shared" si="2"/>
        <v>45165</v>
      </c>
      <c r="D37" s="773">
        <v>3098</v>
      </c>
      <c r="E37" s="773">
        <v>59</v>
      </c>
      <c r="F37" s="773">
        <v>221</v>
      </c>
      <c r="G37" s="773">
        <v>0</v>
      </c>
      <c r="H37" s="773">
        <v>142</v>
      </c>
      <c r="I37" s="773">
        <v>34</v>
      </c>
      <c r="J37" s="499">
        <f t="shared" si="0"/>
        <v>3554</v>
      </c>
      <c r="K37" s="506">
        <f t="shared" si="1"/>
        <v>7039.64</v>
      </c>
    </row>
    <row r="38" spans="2:11" ht="15" thickBot="1" x14ac:dyDescent="0.35">
      <c r="C38" s="36">
        <f t="shared" si="2"/>
        <v>45166</v>
      </c>
      <c r="D38" s="773">
        <v>4858</v>
      </c>
      <c r="E38" s="773">
        <v>91</v>
      </c>
      <c r="F38" s="773">
        <v>222</v>
      </c>
      <c r="G38" s="773">
        <v>0</v>
      </c>
      <c r="H38" s="773">
        <v>208</v>
      </c>
      <c r="I38" s="773">
        <v>165</v>
      </c>
      <c r="J38" s="499">
        <f t="shared" si="0"/>
        <v>5544</v>
      </c>
      <c r="K38" s="506">
        <f t="shared" si="1"/>
        <v>10990.32</v>
      </c>
    </row>
    <row r="39" spans="2:11" ht="15" thickBot="1" x14ac:dyDescent="0.35">
      <c r="C39" s="36">
        <f t="shared" si="2"/>
        <v>45167</v>
      </c>
      <c r="D39" s="773">
        <v>4968</v>
      </c>
      <c r="E39" s="773">
        <v>90</v>
      </c>
      <c r="F39" s="773">
        <v>227</v>
      </c>
      <c r="G39" s="773">
        <v>0</v>
      </c>
      <c r="H39" s="773">
        <v>179</v>
      </c>
      <c r="I39" s="773">
        <v>125</v>
      </c>
      <c r="J39" s="499">
        <f t="shared" si="0"/>
        <v>5589</v>
      </c>
      <c r="K39" s="506">
        <f t="shared" si="1"/>
        <v>11076.22</v>
      </c>
    </row>
    <row r="40" spans="2:11" x14ac:dyDescent="0.3">
      <c r="C40" s="36">
        <f t="shared" si="2"/>
        <v>45168</v>
      </c>
      <c r="D40" s="773">
        <v>4809</v>
      </c>
      <c r="E40" s="773">
        <v>90</v>
      </c>
      <c r="F40" s="773">
        <v>228</v>
      </c>
      <c r="G40" s="773">
        <v>0</v>
      </c>
      <c r="H40" s="773">
        <v>225</v>
      </c>
      <c r="I40" s="773">
        <v>210</v>
      </c>
      <c r="J40" s="499">
        <f t="shared" si="0"/>
        <v>5562</v>
      </c>
      <c r="K40" s="506">
        <f t="shared" si="1"/>
        <v>11029.56</v>
      </c>
    </row>
    <row r="41" spans="2:11" x14ac:dyDescent="0.3">
      <c r="C41" s="36">
        <f t="shared" si="2"/>
        <v>45169</v>
      </c>
      <c r="D41" s="778">
        <v>5102</v>
      </c>
      <c r="E41" s="778">
        <v>85</v>
      </c>
      <c r="F41" s="778">
        <v>224</v>
      </c>
      <c r="G41" s="778">
        <v>0</v>
      </c>
      <c r="H41" s="778">
        <v>182</v>
      </c>
      <c r="I41" s="778">
        <v>105</v>
      </c>
      <c r="J41" s="500">
        <f>SUM(D41:I41)</f>
        <v>5698</v>
      </c>
      <c r="K41" s="506">
        <f t="shared" si="1"/>
        <v>11290.439999999999</v>
      </c>
    </row>
    <row r="42" spans="2:11" x14ac:dyDescent="0.3">
      <c r="C42" s="36"/>
      <c r="D42" s="192"/>
      <c r="E42" s="192"/>
      <c r="F42" s="192"/>
      <c r="G42" s="192"/>
      <c r="H42" s="192"/>
      <c r="I42" s="192"/>
      <c r="J42" s="192"/>
      <c r="K42" s="506">
        <f>(SUM(D42:H42)*1.722)+(I42*1.79)</f>
        <v>0</v>
      </c>
    </row>
    <row r="43" spans="2:11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1" x14ac:dyDescent="0.3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Bulk'!AI22+'Facility Requested Meals + Bulk'!AI45+'Facility Requested Meals + Bulk'!AI68+'Facility Requested Meals + Bulk'!AI91+'Facility Requested Meals + Bulk'!AI114+'Facility Requested Meals + Bulk'!AI137</f>
        <v>643.53</v>
      </c>
    </row>
    <row r="45" spans="2:11" x14ac:dyDescent="0.3">
      <c r="C45" s="36" t="s">
        <v>184</v>
      </c>
      <c r="D45" s="192"/>
      <c r="E45" s="192"/>
      <c r="F45" s="192"/>
      <c r="G45" s="192"/>
      <c r="H45" s="192"/>
      <c r="I45" s="214"/>
      <c r="J45" s="192"/>
      <c r="K45" s="844">
        <v>0</v>
      </c>
    </row>
    <row r="46" spans="2:11" x14ac:dyDescent="0.3">
      <c r="C46" s="667" t="s">
        <v>581</v>
      </c>
      <c r="D46" s="192"/>
      <c r="E46" s="192" t="s">
        <v>556</v>
      </c>
      <c r="F46" s="192" t="s">
        <v>556</v>
      </c>
      <c r="G46" s="192"/>
      <c r="H46" s="192"/>
      <c r="I46" s="214"/>
      <c r="J46" s="192"/>
      <c r="K46" s="38">
        <v>0</v>
      </c>
    </row>
    <row r="47" spans="2:11" x14ac:dyDescent="0.3">
      <c r="B47" t="s">
        <v>164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'August - EE Credits FY23  '!O4</f>
        <v>0</v>
      </c>
    </row>
    <row r="48" spans="2:11" x14ac:dyDescent="0.3">
      <c r="B48" t="s">
        <v>164</v>
      </c>
      <c r="C48" s="36" t="s">
        <v>232</v>
      </c>
      <c r="D48" s="192"/>
      <c r="E48" s="192"/>
      <c r="F48" s="192"/>
      <c r="G48" s="192"/>
      <c r="H48" s="192"/>
      <c r="I48" s="214"/>
      <c r="J48" s="192"/>
      <c r="K48" s="38">
        <f>'August - EE Credits FY23  '!P4</f>
        <v>0</v>
      </c>
    </row>
    <row r="49" spans="2:12" x14ac:dyDescent="0.3">
      <c r="B49" t="s">
        <v>164</v>
      </c>
      <c r="C49" s="36" t="s">
        <v>245</v>
      </c>
      <c r="D49" s="192"/>
      <c r="E49" s="192"/>
      <c r="F49" s="192"/>
      <c r="G49" s="192"/>
      <c r="H49" s="192"/>
      <c r="I49" s="214"/>
      <c r="J49" s="192"/>
      <c r="K49" s="38">
        <v>0</v>
      </c>
    </row>
    <row r="50" spans="2:12" x14ac:dyDescent="0.3">
      <c r="B50" t="s">
        <v>164</v>
      </c>
      <c r="C50" s="36" t="s">
        <v>243</v>
      </c>
      <c r="D50" s="192"/>
      <c r="E50" s="192"/>
      <c r="F50" s="192"/>
      <c r="G50" s="192"/>
      <c r="H50" s="192"/>
      <c r="I50" s="214"/>
      <c r="J50" s="192"/>
      <c r="K50" s="38">
        <f>'State to ARA Charge Aug FY23'!CK82</f>
        <v>232.29</v>
      </c>
    </row>
    <row r="51" spans="2:12" x14ac:dyDescent="0.3">
      <c r="C51" s="36" t="s">
        <v>680</v>
      </c>
      <c r="D51" s="192"/>
      <c r="E51" s="192"/>
      <c r="F51" s="192"/>
      <c r="G51" s="192"/>
      <c r="H51" s="192"/>
      <c r="I51" s="253"/>
      <c r="J51" s="192"/>
      <c r="K51" s="38">
        <v>0</v>
      </c>
    </row>
    <row r="52" spans="2:12" x14ac:dyDescent="0.3">
      <c r="C52" s="36" t="s">
        <v>194</v>
      </c>
      <c r="D52" s="207"/>
      <c r="E52" s="207"/>
      <c r="F52" s="207"/>
      <c r="G52" s="207"/>
      <c r="H52" s="207"/>
      <c r="I52" s="207"/>
      <c r="J52" s="207"/>
      <c r="K52" s="649">
        <f>'Inv Usage Credits'!Q73*-1</f>
        <v>0</v>
      </c>
    </row>
    <row r="53" spans="2:12" x14ac:dyDescent="0.3">
      <c r="C53" s="222"/>
      <c r="D53" s="207" t="s">
        <v>206</v>
      </c>
      <c r="E53" s="207"/>
      <c r="F53" s="207"/>
      <c r="G53" s="207"/>
      <c r="H53" s="207"/>
      <c r="I53" s="207"/>
      <c r="J53" s="207"/>
      <c r="K53" s="224">
        <f>SUM(K44:K52)</f>
        <v>875.81999999999994</v>
      </c>
    </row>
    <row r="54" spans="2:12" ht="15" thickBot="1" x14ac:dyDescent="0.35">
      <c r="C54" s="40"/>
      <c r="D54" s="194"/>
      <c r="E54" s="194"/>
      <c r="F54" s="194"/>
      <c r="G54" s="194"/>
      <c r="H54" s="194"/>
      <c r="I54" s="194"/>
      <c r="J54" s="194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3">
      <c r="C57" s="42" t="s">
        <v>13</v>
      </c>
      <c r="D57" s="212">
        <f>SUM(D11:D41)</f>
        <v>138398</v>
      </c>
      <c r="E57" s="212">
        <f t="shared" ref="E57:J57" si="3">SUM(E11:E41)</f>
        <v>2673</v>
      </c>
      <c r="F57" s="212">
        <f t="shared" si="3"/>
        <v>6487</v>
      </c>
      <c r="G57" s="212">
        <f t="shared" si="3"/>
        <v>0</v>
      </c>
      <c r="H57" s="212">
        <f t="shared" si="3"/>
        <v>5995</v>
      </c>
      <c r="I57" s="212">
        <f t="shared" si="3"/>
        <v>3503</v>
      </c>
      <c r="J57" s="212">
        <f t="shared" si="3"/>
        <v>157056</v>
      </c>
      <c r="K57" s="168">
        <f>(SUM(D57:H57)*1.98)+(I57*2.06)</f>
        <v>311251.12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79"/>
      <c r="J59" s="179" t="s">
        <v>241</v>
      </c>
      <c r="K59" s="202">
        <f>K53+K57+K58</f>
        <v>312126.94</v>
      </c>
      <c r="L59" s="41"/>
    </row>
  </sheetData>
  <mergeCells count="3">
    <mergeCell ref="G6:J6"/>
    <mergeCell ref="G5:J5"/>
    <mergeCell ref="L11:M13"/>
  </mergeCells>
  <pageMargins left="0.45" right="0.45" top="0.25" bottom="0.25" header="0" footer="0"/>
  <pageSetup scale="56" fitToHeight="0" orientation="portrait" r:id="rId1"/>
  <rowBreaks count="2" manualBreakCount="2">
    <brk id="62" max="11" man="1"/>
    <brk id="66" max="11" man="1"/>
  </rowBreaks>
  <colBreaks count="1" manualBreakCount="1">
    <brk id="14" max="81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L87"/>
  <sheetViews>
    <sheetView showGridLines="0" topLeftCell="A37" zoomScaleNormal="100" workbookViewId="0">
      <selection activeCell="C42" sqref="C42:C45"/>
    </sheetView>
  </sheetViews>
  <sheetFormatPr defaultRowHeight="14.4" x14ac:dyDescent="0.3"/>
  <cols>
    <col min="2" max="2" width="8" customWidth="1"/>
    <col min="3" max="3" width="11.109375" customWidth="1"/>
    <col min="4" max="4" width="14.44140625" bestFit="1" customWidth="1"/>
    <col min="5" max="5" width="16.44140625" bestFit="1" customWidth="1"/>
    <col min="6" max="6" width="18.5546875" bestFit="1" customWidth="1"/>
    <col min="7" max="7" width="18.5546875" customWidth="1"/>
    <col min="8" max="8" width="13.109375" bestFit="1" customWidth="1"/>
    <col min="9" max="9" width="10.5546875" customWidth="1"/>
    <col min="10" max="10" width="11.44140625" customWidth="1"/>
  </cols>
  <sheetData>
    <row r="5" spans="2:12" ht="25.8" x14ac:dyDescent="0.5">
      <c r="E5" s="880" t="s">
        <v>10</v>
      </c>
      <c r="F5" s="880"/>
      <c r="G5" s="880"/>
      <c r="H5" s="880"/>
      <c r="I5" s="37"/>
      <c r="J5" s="37"/>
      <c r="K5" s="37"/>
      <c r="L5" s="37"/>
    </row>
    <row r="6" spans="2:12" ht="18" x14ac:dyDescent="0.35">
      <c r="B6" s="43" t="s">
        <v>12</v>
      </c>
      <c r="C6" s="44">
        <f>'DOC Invoice'!J2</f>
        <v>11</v>
      </c>
      <c r="E6" s="879" t="s">
        <v>141</v>
      </c>
      <c r="F6" s="879"/>
      <c r="G6" s="879"/>
      <c r="H6" s="879"/>
      <c r="I6" s="181"/>
      <c r="J6" s="181"/>
      <c r="K6" s="181"/>
    </row>
    <row r="7" spans="2:12" x14ac:dyDescent="0.3">
      <c r="B7" s="43" t="s">
        <v>14</v>
      </c>
      <c r="C7" s="45">
        <f>'DOC Invoice'!J3</f>
        <v>45139</v>
      </c>
      <c r="H7" s="883"/>
      <c r="I7" s="883"/>
    </row>
    <row r="8" spans="2:12" x14ac:dyDescent="0.3">
      <c r="B8" s="43" t="s">
        <v>15</v>
      </c>
      <c r="C8" s="45">
        <f>'DOC Invoice'!J4</f>
        <v>45169</v>
      </c>
      <c r="F8" s="187"/>
      <c r="G8" s="53" t="s">
        <v>142</v>
      </c>
      <c r="H8" s="42"/>
    </row>
    <row r="9" spans="2:12" ht="15" thickBot="1" x14ac:dyDescent="0.35"/>
    <row r="10" spans="2:12" ht="48.75" customHeight="1" thickBot="1" x14ac:dyDescent="0.35">
      <c r="B10" s="3"/>
      <c r="C10" s="197" t="s">
        <v>11</v>
      </c>
      <c r="D10" s="196" t="s">
        <v>188</v>
      </c>
      <c r="E10" s="196" t="s">
        <v>189</v>
      </c>
      <c r="F10" s="196" t="s">
        <v>190</v>
      </c>
      <c r="G10" s="201" t="s">
        <v>191</v>
      </c>
      <c r="H10" s="198" t="s">
        <v>13</v>
      </c>
      <c r="I10" s="199" t="s">
        <v>16</v>
      </c>
      <c r="K10" s="3"/>
      <c r="L10" s="3"/>
    </row>
    <row r="11" spans="2:12" x14ac:dyDescent="0.3">
      <c r="C11" s="36">
        <f>C7</f>
        <v>45139</v>
      </c>
      <c r="D11" s="193"/>
      <c r="E11" s="193"/>
      <c r="F11" s="193"/>
      <c r="G11" s="193"/>
      <c r="H11" s="193">
        <f>SUM(D11:G11)</f>
        <v>0</v>
      </c>
      <c r="I11" s="38">
        <f>(SUM(D11:F11)*1.44)+(G11*1.641)</f>
        <v>0</v>
      </c>
      <c r="K11" s="35"/>
      <c r="L11" s="35"/>
    </row>
    <row r="12" spans="2:12" x14ac:dyDescent="0.3">
      <c r="C12" s="36">
        <f>IF(C11+1&lt;=$C$8,C11+1,0)</f>
        <v>45140</v>
      </c>
      <c r="D12" s="192"/>
      <c r="E12" s="192"/>
      <c r="F12" s="192"/>
      <c r="G12" s="192"/>
      <c r="H12" s="192">
        <f t="shared" ref="H12:H45" si="0">SUM(D12:G12)</f>
        <v>0</v>
      </c>
      <c r="I12" s="38">
        <f t="shared" ref="I12:I45" si="1">(SUM(D12:F12)*1.44)+(G12*1.641)</f>
        <v>0</v>
      </c>
    </row>
    <row r="13" spans="2:12" x14ac:dyDescent="0.3">
      <c r="C13" s="36">
        <f t="shared" ref="C13:C40" si="2">IF(C12+1&lt;=$C$8,C12+1,0)</f>
        <v>45141</v>
      </c>
      <c r="D13" s="192"/>
      <c r="E13" s="192"/>
      <c r="F13" s="192"/>
      <c r="G13" s="192"/>
      <c r="H13" s="192">
        <f t="shared" si="0"/>
        <v>0</v>
      </c>
      <c r="I13" s="38">
        <f t="shared" si="1"/>
        <v>0</v>
      </c>
    </row>
    <row r="14" spans="2:12" x14ac:dyDescent="0.3">
      <c r="C14" s="36">
        <f t="shared" si="2"/>
        <v>45142</v>
      </c>
      <c r="D14" s="192"/>
      <c r="E14" s="192"/>
      <c r="F14" s="192"/>
      <c r="G14" s="192"/>
      <c r="H14" s="192">
        <f t="shared" si="0"/>
        <v>0</v>
      </c>
      <c r="I14" s="38">
        <f t="shared" si="1"/>
        <v>0</v>
      </c>
      <c r="J14" s="3"/>
    </row>
    <row r="15" spans="2:12" x14ac:dyDescent="0.3">
      <c r="C15" s="36">
        <f t="shared" si="2"/>
        <v>45143</v>
      </c>
      <c r="D15" s="192"/>
      <c r="E15" s="192"/>
      <c r="F15" s="192"/>
      <c r="G15" s="192"/>
      <c r="H15" s="192">
        <f t="shared" si="0"/>
        <v>0</v>
      </c>
      <c r="I15" s="38">
        <f t="shared" si="1"/>
        <v>0</v>
      </c>
    </row>
    <row r="16" spans="2:12" x14ac:dyDescent="0.3">
      <c r="C16" s="36">
        <f t="shared" si="2"/>
        <v>45144</v>
      </c>
      <c r="D16" s="192"/>
      <c r="E16" s="192"/>
      <c r="F16" s="192"/>
      <c r="G16" s="192"/>
      <c r="H16" s="192">
        <f t="shared" si="0"/>
        <v>0</v>
      </c>
      <c r="I16" s="38">
        <f t="shared" si="1"/>
        <v>0</v>
      </c>
    </row>
    <row r="17" spans="3:9" x14ac:dyDescent="0.3">
      <c r="C17" s="36">
        <f t="shared" si="2"/>
        <v>45145</v>
      </c>
      <c r="D17" s="192"/>
      <c r="E17" s="192"/>
      <c r="F17" s="192"/>
      <c r="G17" s="192"/>
      <c r="H17" s="192">
        <f t="shared" si="0"/>
        <v>0</v>
      </c>
      <c r="I17" s="38">
        <f t="shared" si="1"/>
        <v>0</v>
      </c>
    </row>
    <row r="18" spans="3:9" x14ac:dyDescent="0.3">
      <c r="C18" s="36">
        <f t="shared" si="2"/>
        <v>45146</v>
      </c>
      <c r="D18" s="192"/>
      <c r="E18" s="192"/>
      <c r="F18" s="192"/>
      <c r="G18" s="192"/>
      <c r="H18" s="192">
        <f t="shared" si="0"/>
        <v>0</v>
      </c>
      <c r="I18" s="38">
        <f t="shared" si="1"/>
        <v>0</v>
      </c>
    </row>
    <row r="19" spans="3:9" x14ac:dyDescent="0.3">
      <c r="C19" s="36">
        <f t="shared" si="2"/>
        <v>45147</v>
      </c>
      <c r="D19" s="192"/>
      <c r="E19" s="192"/>
      <c r="F19" s="192"/>
      <c r="G19" s="192"/>
      <c r="H19" s="192">
        <f t="shared" si="0"/>
        <v>0</v>
      </c>
      <c r="I19" s="38">
        <f t="shared" si="1"/>
        <v>0</v>
      </c>
    </row>
    <row r="20" spans="3:9" x14ac:dyDescent="0.3">
      <c r="C20" s="36">
        <f t="shared" si="2"/>
        <v>45148</v>
      </c>
      <c r="D20" s="192"/>
      <c r="E20" s="192"/>
      <c r="F20" s="192"/>
      <c r="G20" s="192"/>
      <c r="H20" s="192">
        <f t="shared" si="0"/>
        <v>0</v>
      </c>
      <c r="I20" s="38">
        <f t="shared" si="1"/>
        <v>0</v>
      </c>
    </row>
    <row r="21" spans="3:9" x14ac:dyDescent="0.3">
      <c r="C21" s="36">
        <f t="shared" si="2"/>
        <v>45149</v>
      </c>
      <c r="D21" s="192"/>
      <c r="E21" s="192"/>
      <c r="F21" s="192"/>
      <c r="G21" s="192"/>
      <c r="H21" s="192">
        <f t="shared" si="0"/>
        <v>0</v>
      </c>
      <c r="I21" s="38">
        <f t="shared" si="1"/>
        <v>0</v>
      </c>
    </row>
    <row r="22" spans="3:9" x14ac:dyDescent="0.3">
      <c r="C22" s="36">
        <f t="shared" si="2"/>
        <v>45150</v>
      </c>
      <c r="D22" s="192"/>
      <c r="E22" s="192"/>
      <c r="F22" s="192"/>
      <c r="G22" s="192"/>
      <c r="H22" s="192">
        <f t="shared" si="0"/>
        <v>0</v>
      </c>
      <c r="I22" s="38">
        <f t="shared" si="1"/>
        <v>0</v>
      </c>
    </row>
    <row r="23" spans="3:9" x14ac:dyDescent="0.3">
      <c r="C23" s="36">
        <f t="shared" si="2"/>
        <v>45151</v>
      </c>
      <c r="D23" s="192"/>
      <c r="E23" s="192"/>
      <c r="F23" s="192"/>
      <c r="G23" s="192"/>
      <c r="H23" s="192">
        <f t="shared" si="0"/>
        <v>0</v>
      </c>
      <c r="I23" s="38">
        <f t="shared" si="1"/>
        <v>0</v>
      </c>
    </row>
    <row r="24" spans="3:9" x14ac:dyDescent="0.3">
      <c r="C24" s="36">
        <f t="shared" si="2"/>
        <v>45152</v>
      </c>
      <c r="D24" s="192"/>
      <c r="E24" s="192"/>
      <c r="F24" s="192"/>
      <c r="G24" s="192"/>
      <c r="H24" s="192">
        <f t="shared" si="0"/>
        <v>0</v>
      </c>
      <c r="I24" s="38">
        <f t="shared" si="1"/>
        <v>0</v>
      </c>
    </row>
    <row r="25" spans="3:9" x14ac:dyDescent="0.3">
      <c r="C25" s="36">
        <f t="shared" si="2"/>
        <v>45153</v>
      </c>
      <c r="D25" s="192"/>
      <c r="E25" s="192"/>
      <c r="F25" s="192"/>
      <c r="G25" s="192"/>
      <c r="H25" s="192">
        <f t="shared" si="0"/>
        <v>0</v>
      </c>
      <c r="I25" s="38">
        <f t="shared" si="1"/>
        <v>0</v>
      </c>
    </row>
    <row r="26" spans="3:9" x14ac:dyDescent="0.3">
      <c r="C26" s="36">
        <f t="shared" si="2"/>
        <v>45154</v>
      </c>
      <c r="D26" s="192"/>
      <c r="E26" s="192"/>
      <c r="F26" s="192"/>
      <c r="G26" s="192"/>
      <c r="H26" s="192">
        <f t="shared" si="0"/>
        <v>0</v>
      </c>
      <c r="I26" s="38">
        <f t="shared" si="1"/>
        <v>0</v>
      </c>
    </row>
    <row r="27" spans="3:9" x14ac:dyDescent="0.3">
      <c r="C27" s="36">
        <f t="shared" si="2"/>
        <v>45155</v>
      </c>
      <c r="D27" s="192"/>
      <c r="E27" s="192"/>
      <c r="F27" s="192"/>
      <c r="G27" s="192"/>
      <c r="H27" s="192">
        <f t="shared" si="0"/>
        <v>0</v>
      </c>
      <c r="I27" s="38">
        <f t="shared" si="1"/>
        <v>0</v>
      </c>
    </row>
    <row r="28" spans="3:9" x14ac:dyDescent="0.3">
      <c r="C28" s="36">
        <f t="shared" si="2"/>
        <v>45156</v>
      </c>
      <c r="D28" s="192"/>
      <c r="E28" s="192"/>
      <c r="F28" s="192"/>
      <c r="G28" s="192"/>
      <c r="H28" s="192">
        <f t="shared" si="0"/>
        <v>0</v>
      </c>
      <c r="I28" s="38">
        <f t="shared" si="1"/>
        <v>0</v>
      </c>
    </row>
    <row r="29" spans="3:9" x14ac:dyDescent="0.3">
      <c r="C29" s="36">
        <f t="shared" si="2"/>
        <v>45157</v>
      </c>
      <c r="D29" s="192"/>
      <c r="E29" s="192"/>
      <c r="F29" s="192"/>
      <c r="G29" s="192"/>
      <c r="H29" s="192">
        <f t="shared" si="0"/>
        <v>0</v>
      </c>
      <c r="I29" s="38">
        <f t="shared" si="1"/>
        <v>0</v>
      </c>
    </row>
    <row r="30" spans="3:9" x14ac:dyDescent="0.3">
      <c r="C30" s="36">
        <f t="shared" si="2"/>
        <v>45158</v>
      </c>
      <c r="D30" s="192"/>
      <c r="E30" s="192"/>
      <c r="F30" s="192"/>
      <c r="G30" s="192"/>
      <c r="H30" s="192">
        <f t="shared" si="0"/>
        <v>0</v>
      </c>
      <c r="I30" s="38">
        <f t="shared" si="1"/>
        <v>0</v>
      </c>
    </row>
    <row r="31" spans="3:9" x14ac:dyDescent="0.3">
      <c r="C31" s="36">
        <f t="shared" si="2"/>
        <v>45159</v>
      </c>
      <c r="D31" s="192"/>
      <c r="E31" s="192"/>
      <c r="F31" s="192"/>
      <c r="G31" s="192"/>
      <c r="H31" s="192">
        <f t="shared" si="0"/>
        <v>0</v>
      </c>
      <c r="I31" s="38">
        <f t="shared" si="1"/>
        <v>0</v>
      </c>
    </row>
    <row r="32" spans="3:9" x14ac:dyDescent="0.3">
      <c r="C32" s="36">
        <f t="shared" si="2"/>
        <v>45160</v>
      </c>
      <c r="D32" s="192"/>
      <c r="E32" s="192"/>
      <c r="F32" s="192"/>
      <c r="G32" s="192"/>
      <c r="H32" s="192">
        <f t="shared" si="0"/>
        <v>0</v>
      </c>
      <c r="I32" s="38">
        <f t="shared" si="1"/>
        <v>0</v>
      </c>
    </row>
    <row r="33" spans="3:9" x14ac:dyDescent="0.3">
      <c r="C33" s="36">
        <f t="shared" si="2"/>
        <v>45161</v>
      </c>
      <c r="D33" s="192"/>
      <c r="E33" s="192"/>
      <c r="F33" s="192"/>
      <c r="G33" s="192"/>
      <c r="H33" s="192">
        <f t="shared" si="0"/>
        <v>0</v>
      </c>
      <c r="I33" s="38">
        <f t="shared" si="1"/>
        <v>0</v>
      </c>
    </row>
    <row r="34" spans="3:9" x14ac:dyDescent="0.3">
      <c r="C34" s="36">
        <f t="shared" si="2"/>
        <v>45162</v>
      </c>
      <c r="D34" s="192"/>
      <c r="E34" s="192"/>
      <c r="F34" s="192"/>
      <c r="G34" s="192"/>
      <c r="H34" s="192">
        <f t="shared" si="0"/>
        <v>0</v>
      </c>
      <c r="I34" s="38">
        <f t="shared" si="1"/>
        <v>0</v>
      </c>
    </row>
    <row r="35" spans="3:9" x14ac:dyDescent="0.3">
      <c r="C35" s="36">
        <f t="shared" si="2"/>
        <v>45163</v>
      </c>
      <c r="D35" s="192"/>
      <c r="E35" s="192"/>
      <c r="F35" s="192"/>
      <c r="G35" s="192"/>
      <c r="H35" s="192">
        <f t="shared" si="0"/>
        <v>0</v>
      </c>
      <c r="I35" s="38">
        <f t="shared" si="1"/>
        <v>0</v>
      </c>
    </row>
    <row r="36" spans="3:9" x14ac:dyDescent="0.3">
      <c r="C36" s="36">
        <f t="shared" si="2"/>
        <v>45164</v>
      </c>
      <c r="D36" s="192"/>
      <c r="E36" s="192"/>
      <c r="F36" s="192"/>
      <c r="G36" s="192"/>
      <c r="H36" s="192">
        <f t="shared" si="0"/>
        <v>0</v>
      </c>
      <c r="I36" s="38">
        <f t="shared" si="1"/>
        <v>0</v>
      </c>
    </row>
    <row r="37" spans="3:9" x14ac:dyDescent="0.3">
      <c r="C37" s="36">
        <f t="shared" si="2"/>
        <v>45165</v>
      </c>
      <c r="D37" s="192"/>
      <c r="E37" s="192"/>
      <c r="F37" s="192"/>
      <c r="G37" s="192"/>
      <c r="H37" s="192">
        <f t="shared" si="0"/>
        <v>0</v>
      </c>
      <c r="I37" s="38">
        <f t="shared" si="1"/>
        <v>0</v>
      </c>
    </row>
    <row r="38" spans="3:9" x14ac:dyDescent="0.3">
      <c r="C38" s="36">
        <f t="shared" si="2"/>
        <v>45166</v>
      </c>
      <c r="D38" s="192"/>
      <c r="E38" s="192"/>
      <c r="F38" s="192"/>
      <c r="G38" s="192"/>
      <c r="H38" s="192">
        <f t="shared" si="0"/>
        <v>0</v>
      </c>
      <c r="I38" s="38">
        <f t="shared" si="1"/>
        <v>0</v>
      </c>
    </row>
    <row r="39" spans="3:9" x14ac:dyDescent="0.3">
      <c r="C39" s="36">
        <f t="shared" si="2"/>
        <v>45167</v>
      </c>
      <c r="D39" s="192"/>
      <c r="E39" s="192"/>
      <c r="F39" s="192"/>
      <c r="G39" s="192"/>
      <c r="H39" s="192">
        <f t="shared" si="0"/>
        <v>0</v>
      </c>
      <c r="I39" s="38">
        <f t="shared" si="1"/>
        <v>0</v>
      </c>
    </row>
    <row r="40" spans="3:9" x14ac:dyDescent="0.3">
      <c r="C40" s="36">
        <f t="shared" si="2"/>
        <v>45168</v>
      </c>
      <c r="D40" s="192"/>
      <c r="E40" s="192"/>
      <c r="F40" s="192"/>
      <c r="G40" s="192"/>
      <c r="H40" s="192">
        <f t="shared" si="0"/>
        <v>0</v>
      </c>
      <c r="I40" s="38">
        <f t="shared" si="1"/>
        <v>0</v>
      </c>
    </row>
    <row r="41" spans="3:9" x14ac:dyDescent="0.3">
      <c r="C41" s="36">
        <f>IF(C40+1&lt;=$C$8,C40+1,0)</f>
        <v>45169</v>
      </c>
      <c r="D41" s="192"/>
      <c r="E41" s="192"/>
      <c r="F41" s="192"/>
      <c r="G41" s="192"/>
      <c r="H41" s="192">
        <f t="shared" si="0"/>
        <v>0</v>
      </c>
      <c r="I41" s="38">
        <f t="shared" si="1"/>
        <v>0</v>
      </c>
    </row>
    <row r="42" spans="3:9" x14ac:dyDescent="0.3">
      <c r="C42" s="36"/>
      <c r="D42" s="192"/>
      <c r="E42" s="192"/>
      <c r="F42" s="192"/>
      <c r="G42" s="192"/>
      <c r="H42" s="192">
        <f t="shared" si="0"/>
        <v>0</v>
      </c>
      <c r="I42" s="38">
        <f t="shared" si="1"/>
        <v>0</v>
      </c>
    </row>
    <row r="43" spans="3:9" x14ac:dyDescent="0.3">
      <c r="C43" s="36"/>
      <c r="D43" s="192"/>
      <c r="E43" s="192"/>
      <c r="F43" s="192"/>
      <c r="G43" s="192"/>
      <c r="H43" s="192">
        <f t="shared" si="0"/>
        <v>0</v>
      </c>
      <c r="I43" s="38">
        <f t="shared" si="1"/>
        <v>0</v>
      </c>
    </row>
    <row r="44" spans="3:9" x14ac:dyDescent="0.3">
      <c r="C44" s="36"/>
      <c r="D44" s="192"/>
      <c r="E44" s="192"/>
      <c r="F44" s="192"/>
      <c r="G44" s="192"/>
      <c r="H44" s="192">
        <f t="shared" si="0"/>
        <v>0</v>
      </c>
      <c r="I44" s="38">
        <f t="shared" si="1"/>
        <v>0</v>
      </c>
    </row>
    <row r="45" spans="3:9" x14ac:dyDescent="0.3">
      <c r="C45" s="36"/>
      <c r="D45" s="192"/>
      <c r="E45" s="192"/>
      <c r="F45" s="192"/>
      <c r="G45" s="192"/>
      <c r="H45" s="192">
        <f t="shared" si="0"/>
        <v>0</v>
      </c>
      <c r="I45" s="38">
        <f t="shared" si="1"/>
        <v>0</v>
      </c>
    </row>
    <row r="46" spans="3:9" x14ac:dyDescent="0.3">
      <c r="C46" s="36"/>
      <c r="D46" s="192"/>
      <c r="E46" s="192"/>
      <c r="F46" s="192"/>
      <c r="G46" s="192"/>
      <c r="H46" s="192"/>
      <c r="I46" s="38"/>
    </row>
    <row r="47" spans="3:9" x14ac:dyDescent="0.3">
      <c r="C47" s="191" t="s">
        <v>186</v>
      </c>
      <c r="D47" s="192"/>
      <c r="E47" s="192"/>
      <c r="F47" s="192"/>
      <c r="G47" s="192"/>
      <c r="H47" s="192"/>
      <c r="I47" s="38"/>
    </row>
    <row r="48" spans="3:9" x14ac:dyDescent="0.3">
      <c r="C48" s="36" t="s">
        <v>184</v>
      </c>
      <c r="D48" s="192"/>
      <c r="E48" s="192"/>
      <c r="F48" s="192"/>
      <c r="G48" s="192"/>
      <c r="H48" s="192"/>
      <c r="I48" s="38">
        <v>0</v>
      </c>
    </row>
    <row r="49" spans="3:10" x14ac:dyDescent="0.3">
      <c r="C49" s="36" t="s">
        <v>184</v>
      </c>
      <c r="D49" s="192"/>
      <c r="E49" s="192"/>
      <c r="F49" s="192"/>
      <c r="G49" s="192"/>
      <c r="H49" s="192"/>
      <c r="I49" s="38">
        <v>0</v>
      </c>
    </row>
    <row r="50" spans="3:10" x14ac:dyDescent="0.3">
      <c r="C50" s="36" t="s">
        <v>185</v>
      </c>
      <c r="D50" s="192"/>
      <c r="E50" s="192"/>
      <c r="F50" s="192"/>
      <c r="G50" s="192"/>
      <c r="H50" s="192"/>
      <c r="I50" s="38">
        <v>0</v>
      </c>
    </row>
    <row r="51" spans="3:10" x14ac:dyDescent="0.3">
      <c r="C51" s="36" t="s">
        <v>185</v>
      </c>
      <c r="D51" s="192"/>
      <c r="E51" s="192"/>
      <c r="F51" s="192"/>
      <c r="G51" s="192"/>
      <c r="H51" s="192"/>
      <c r="I51" s="38">
        <v>0</v>
      </c>
    </row>
    <row r="52" spans="3:10" ht="15" thickBot="1" x14ac:dyDescent="0.35">
      <c r="C52" s="40"/>
      <c r="D52" s="194"/>
      <c r="E52" s="194"/>
      <c r="F52" s="194"/>
      <c r="G52" s="194"/>
      <c r="H52" s="194"/>
      <c r="I52" s="39"/>
    </row>
    <row r="54" spans="3:10" x14ac:dyDescent="0.3">
      <c r="C54" s="42" t="s">
        <v>13</v>
      </c>
      <c r="D54" s="187">
        <f>SUM(D11:D46)</f>
        <v>0</v>
      </c>
      <c r="E54" s="187">
        <f>SUM(E11:E46)</f>
        <v>0</v>
      </c>
      <c r="F54" s="187">
        <f>SUM(F11:F46)</f>
        <v>0</v>
      </c>
      <c r="G54" s="187">
        <f>SUM(G11:G46)</f>
        <v>0</v>
      </c>
      <c r="H54" s="187">
        <f>SUM(H11:H46)</f>
        <v>0</v>
      </c>
      <c r="I54" s="168">
        <f>(SUM(D54:F54)*1.44)+(G54*1.641)</f>
        <v>0</v>
      </c>
    </row>
    <row r="56" spans="3:10" x14ac:dyDescent="0.3">
      <c r="C56" t="s">
        <v>184</v>
      </c>
      <c r="I56" s="168">
        <f>SUMIF($C$48:$C$52,$C56,$I$48:$I$52)</f>
        <v>0</v>
      </c>
    </row>
    <row r="57" spans="3:10" x14ac:dyDescent="0.3">
      <c r="C57" t="s">
        <v>185</v>
      </c>
      <c r="I57" s="168">
        <f>SUMIF($C$48:$C$52,$C57,$I$48:$I$52)</f>
        <v>0</v>
      </c>
    </row>
    <row r="58" spans="3:10" x14ac:dyDescent="0.3">
      <c r="C58" t="s">
        <v>187</v>
      </c>
      <c r="I58" s="168">
        <f>I56+I57</f>
        <v>0</v>
      </c>
    </row>
    <row r="59" spans="3:10" x14ac:dyDescent="0.3">
      <c r="I59" s="168"/>
    </row>
    <row r="60" spans="3:10" ht="18" x14ac:dyDescent="0.35">
      <c r="E60" s="188"/>
      <c r="F60" s="188"/>
      <c r="G60" s="188"/>
      <c r="H60" s="188"/>
      <c r="I60" s="202">
        <f>I54+I58</f>
        <v>0</v>
      </c>
      <c r="J60" s="41"/>
    </row>
    <row r="66" spans="1:9" ht="18" x14ac:dyDescent="0.35">
      <c r="A66" s="54" t="s">
        <v>84</v>
      </c>
      <c r="B66" s="46"/>
      <c r="C66" s="46"/>
      <c r="D66" s="46"/>
      <c r="E66" s="46"/>
      <c r="F66" s="46"/>
      <c r="G66" s="46"/>
      <c r="H66" s="46"/>
      <c r="I66" s="55"/>
    </row>
    <row r="67" spans="1:9" x14ac:dyDescent="0.3">
      <c r="A67" s="56"/>
      <c r="B67" s="3"/>
      <c r="C67" s="3"/>
      <c r="D67" s="3"/>
      <c r="E67" s="3"/>
      <c r="F67" s="3"/>
      <c r="G67" s="3"/>
      <c r="H67" s="3"/>
      <c r="I67" s="57"/>
    </row>
    <row r="68" spans="1:9" x14ac:dyDescent="0.3">
      <c r="A68" s="56"/>
      <c r="B68" s="3"/>
      <c r="C68" s="3"/>
      <c r="D68" s="3"/>
      <c r="E68" s="3"/>
      <c r="F68" s="3"/>
      <c r="G68" s="3"/>
      <c r="H68" s="3"/>
      <c r="I68" s="57"/>
    </row>
    <row r="69" spans="1:9" x14ac:dyDescent="0.3">
      <c r="A69" s="61" t="s">
        <v>78</v>
      </c>
      <c r="B69" s="59"/>
      <c r="C69" s="59"/>
      <c r="D69" s="3"/>
      <c r="E69" s="62" t="s">
        <v>79</v>
      </c>
      <c r="F69" s="3"/>
      <c r="G69" s="3"/>
      <c r="H69" s="3"/>
      <c r="I69" s="57"/>
    </row>
    <row r="70" spans="1:9" ht="18" x14ac:dyDescent="0.35">
      <c r="A70" s="63" t="str">
        <f>E6</f>
        <v>Northeast Carter County Annex</v>
      </c>
      <c r="B70" s="64"/>
      <c r="C70" s="64"/>
      <c r="D70" s="64"/>
      <c r="E70" s="65" t="str">
        <f>G8</f>
        <v>000010565</v>
      </c>
      <c r="F70" s="65"/>
      <c r="G70" s="65"/>
      <c r="H70" s="3"/>
      <c r="I70" s="57"/>
    </row>
    <row r="71" spans="1:9" x14ac:dyDescent="0.3">
      <c r="A71" s="56"/>
      <c r="B71" s="3"/>
      <c r="C71" s="3"/>
      <c r="D71" s="3"/>
      <c r="E71" s="3"/>
      <c r="F71" s="3"/>
      <c r="G71" s="3"/>
      <c r="H71" s="3"/>
      <c r="I71" s="57"/>
    </row>
    <row r="72" spans="1:9" ht="18" x14ac:dyDescent="0.35">
      <c r="A72" s="67"/>
      <c r="B72" s="68"/>
      <c r="C72" s="68">
        <v>2016</v>
      </c>
      <c r="D72" s="3"/>
      <c r="E72" s="3"/>
      <c r="F72" s="3"/>
      <c r="G72" s="3"/>
      <c r="H72" s="3"/>
      <c r="I72" s="57"/>
    </row>
    <row r="73" spans="1:9" x14ac:dyDescent="0.3">
      <c r="A73" s="56"/>
      <c r="B73" s="3"/>
      <c r="C73" s="3"/>
      <c r="D73" s="3"/>
      <c r="E73" s="3"/>
      <c r="F73" s="3"/>
      <c r="G73" s="3"/>
      <c r="H73" s="3"/>
      <c r="I73" s="57"/>
    </row>
    <row r="74" spans="1:9" ht="18" x14ac:dyDescent="0.35">
      <c r="A74" s="69" t="s">
        <v>80</v>
      </c>
      <c r="B74" s="68"/>
      <c r="C74" s="68"/>
      <c r="D74" s="68"/>
      <c r="E74" s="3"/>
      <c r="F74" s="3"/>
      <c r="G74" s="3"/>
      <c r="H74" s="3"/>
      <c r="I74" s="57"/>
    </row>
    <row r="75" spans="1:9" x14ac:dyDescent="0.3">
      <c r="A75" s="56"/>
      <c r="B75" s="3"/>
      <c r="C75" s="3"/>
      <c r="D75" s="3"/>
      <c r="E75" s="3"/>
      <c r="F75" s="3"/>
      <c r="G75" s="3"/>
      <c r="H75" s="3"/>
      <c r="I75" s="57"/>
    </row>
    <row r="76" spans="1:9" ht="18" x14ac:dyDescent="0.35">
      <c r="A76" s="58"/>
      <c r="B76" s="59"/>
      <c r="C76" s="59"/>
      <c r="D76" s="70"/>
      <c r="E76" s="3"/>
      <c r="F76" s="3"/>
      <c r="G76" s="3"/>
      <c r="H76" s="3"/>
      <c r="I76" s="57"/>
    </row>
    <row r="77" spans="1:9" x14ac:dyDescent="0.3">
      <c r="A77" s="56"/>
      <c r="B77" s="3"/>
      <c r="C77" s="3"/>
      <c r="D77" s="3"/>
      <c r="E77" s="3"/>
      <c r="F77" s="3"/>
      <c r="G77" s="3"/>
      <c r="H77" s="3"/>
      <c r="I77" s="57"/>
    </row>
    <row r="78" spans="1:9" ht="18" x14ac:dyDescent="0.35">
      <c r="A78" s="58" t="s">
        <v>81</v>
      </c>
      <c r="B78" s="59"/>
      <c r="C78" s="68">
        <f>G54</f>
        <v>0</v>
      </c>
      <c r="D78" s="3"/>
      <c r="E78" s="3"/>
      <c r="F78" s="3"/>
      <c r="G78" s="3"/>
      <c r="H78" s="3"/>
      <c r="I78" s="57"/>
    </row>
    <row r="79" spans="1:9" x14ac:dyDescent="0.3">
      <c r="A79" s="56"/>
      <c r="B79" s="3"/>
      <c r="C79" s="3"/>
      <c r="D79" s="3"/>
      <c r="E79" s="3"/>
      <c r="F79" s="3"/>
      <c r="G79" s="3"/>
      <c r="H79" s="3"/>
      <c r="I79" s="57"/>
    </row>
    <row r="80" spans="1:9" ht="18" x14ac:dyDescent="0.35">
      <c r="A80" s="58" t="s">
        <v>82</v>
      </c>
      <c r="B80" s="59"/>
      <c r="C80" s="59"/>
      <c r="D80" s="59"/>
      <c r="E80" s="189"/>
      <c r="F80" s="180"/>
      <c r="G80" s="180"/>
      <c r="H80" s="3"/>
      <c r="I80" s="57"/>
    </row>
    <row r="81" spans="1:9" x14ac:dyDescent="0.3">
      <c r="A81" s="56"/>
      <c r="B81" s="3"/>
      <c r="C81" s="3"/>
      <c r="D81" s="3"/>
      <c r="E81" s="3"/>
      <c r="F81" s="3"/>
      <c r="G81" s="3"/>
      <c r="H81" s="3"/>
      <c r="I81" s="57"/>
    </row>
    <row r="82" spans="1:9" ht="18" x14ac:dyDescent="0.35">
      <c r="A82" s="66" t="s">
        <v>83</v>
      </c>
      <c r="B82" s="59"/>
      <c r="C82" s="59"/>
      <c r="D82" s="190"/>
      <c r="E82" s="3"/>
      <c r="F82" s="3"/>
      <c r="G82" s="3"/>
      <c r="H82" s="3"/>
      <c r="I82" s="57"/>
    </row>
    <row r="83" spans="1:9" x14ac:dyDescent="0.3">
      <c r="A83" s="58"/>
      <c r="B83" s="59"/>
      <c r="C83" s="59"/>
      <c r="D83" s="59"/>
      <c r="E83" s="59"/>
      <c r="F83" s="59"/>
      <c r="G83" s="59"/>
      <c r="H83" s="59"/>
      <c r="I83" s="60"/>
    </row>
    <row r="87" spans="1:9" hidden="1" x14ac:dyDescent="0.3"/>
  </sheetData>
  <mergeCells count="3">
    <mergeCell ref="E6:H6"/>
    <mergeCell ref="E5:H5"/>
    <mergeCell ref="H7:I7"/>
  </mergeCells>
  <pageMargins left="0.2" right="0.2" top="0.5" bottom="0.5" header="0.05" footer="0.05"/>
  <pageSetup scale="79" fitToHeight="2" orientation="portrait" r:id="rId1"/>
  <rowBreaks count="2" manualBreakCount="2">
    <brk id="63" max="11" man="1"/>
    <brk id="85" max="1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5:N68"/>
  <sheetViews>
    <sheetView showGridLines="0" topLeftCell="A36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1.6640625" customWidth="1"/>
    <col min="4" max="9" width="18" customWidth="1"/>
    <col min="10" max="10" width="13.109375" bestFit="1" customWidth="1"/>
    <col min="11" max="11" width="12.33203125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139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140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>
        <v>560</v>
      </c>
      <c r="E11" s="500">
        <v>0</v>
      </c>
      <c r="F11" s="500">
        <v>12</v>
      </c>
      <c r="G11" s="500">
        <v>0</v>
      </c>
      <c r="H11" s="500">
        <v>40</v>
      </c>
      <c r="I11" s="774">
        <v>117</v>
      </c>
      <c r="J11" s="213">
        <f>SUM(D11:I11)</f>
        <v>729</v>
      </c>
      <c r="K11" s="506">
        <f>(SUM(D11:H11)*1.98)+(I11*2.06)</f>
        <v>1452.78</v>
      </c>
      <c r="M11" s="35"/>
      <c r="N11" s="35"/>
    </row>
    <row r="12" spans="2:14" x14ac:dyDescent="0.3">
      <c r="C12" s="36">
        <f>IF(C11+1&lt;=$C$8,C11+1,0)</f>
        <v>45140</v>
      </c>
      <c r="D12" s="500">
        <v>565</v>
      </c>
      <c r="E12" s="500">
        <v>0</v>
      </c>
      <c r="F12" s="500">
        <v>12</v>
      </c>
      <c r="G12" s="500">
        <v>0</v>
      </c>
      <c r="H12" s="500">
        <v>52</v>
      </c>
      <c r="I12" s="773">
        <v>116</v>
      </c>
      <c r="J12" s="214">
        <f t="shared" ref="J12:J41" si="0">SUM(D12:I12)</f>
        <v>745</v>
      </c>
      <c r="K12" s="506">
        <f t="shared" ref="K12:K41" si="1">(SUM(D12:H12)*1.98)+(I12*2.06)</f>
        <v>1484.38</v>
      </c>
    </row>
    <row r="13" spans="2:14" x14ac:dyDescent="0.3">
      <c r="C13" s="36">
        <f t="shared" ref="C13:C41" si="2">IF(C12+1&lt;=$C$8,C12+1,0)</f>
        <v>45141</v>
      </c>
      <c r="D13" s="500">
        <v>562</v>
      </c>
      <c r="E13" s="500">
        <v>0</v>
      </c>
      <c r="F13" s="500">
        <v>12</v>
      </c>
      <c r="G13" s="500">
        <v>0</v>
      </c>
      <c r="H13" s="500">
        <v>40</v>
      </c>
      <c r="I13" s="773">
        <v>91</v>
      </c>
      <c r="J13" s="214">
        <f t="shared" si="0"/>
        <v>705</v>
      </c>
      <c r="K13" s="506">
        <f t="shared" si="1"/>
        <v>1403.18</v>
      </c>
    </row>
    <row r="14" spans="2:14" x14ac:dyDescent="0.3">
      <c r="C14" s="36">
        <f t="shared" si="2"/>
        <v>45142</v>
      </c>
      <c r="D14" s="500">
        <v>560</v>
      </c>
      <c r="E14" s="500">
        <v>0</v>
      </c>
      <c r="F14" s="500">
        <v>12</v>
      </c>
      <c r="G14" s="500">
        <v>0</v>
      </c>
      <c r="H14" s="500">
        <v>62</v>
      </c>
      <c r="I14" s="773">
        <v>103</v>
      </c>
      <c r="J14" s="214">
        <f t="shared" si="0"/>
        <v>737</v>
      </c>
      <c r="K14" s="506">
        <f t="shared" si="1"/>
        <v>1467.5</v>
      </c>
      <c r="L14" s="3"/>
    </row>
    <row r="15" spans="2:14" x14ac:dyDescent="0.3">
      <c r="C15" s="36">
        <f t="shared" si="2"/>
        <v>45143</v>
      </c>
      <c r="D15" s="500">
        <v>391</v>
      </c>
      <c r="E15" s="500">
        <v>0</v>
      </c>
      <c r="F15" s="500">
        <v>12</v>
      </c>
      <c r="G15" s="500">
        <v>0</v>
      </c>
      <c r="H15" s="500">
        <v>13</v>
      </c>
      <c r="I15" s="773">
        <v>25</v>
      </c>
      <c r="J15" s="214">
        <f t="shared" si="0"/>
        <v>441</v>
      </c>
      <c r="K15" s="506">
        <f t="shared" si="1"/>
        <v>875.18</v>
      </c>
    </row>
    <row r="16" spans="2:14" x14ac:dyDescent="0.3">
      <c r="C16" s="36">
        <f t="shared" si="2"/>
        <v>45144</v>
      </c>
      <c r="D16" s="500">
        <v>387</v>
      </c>
      <c r="E16" s="500">
        <v>0</v>
      </c>
      <c r="F16" s="500">
        <v>12</v>
      </c>
      <c r="G16" s="500">
        <v>0</v>
      </c>
      <c r="H16" s="500">
        <v>14</v>
      </c>
      <c r="I16" s="773">
        <v>25</v>
      </c>
      <c r="J16" s="214">
        <f t="shared" si="0"/>
        <v>438</v>
      </c>
      <c r="K16" s="506">
        <f t="shared" si="1"/>
        <v>869.24</v>
      </c>
    </row>
    <row r="17" spans="3:11" x14ac:dyDescent="0.3">
      <c r="C17" s="36">
        <f t="shared" si="2"/>
        <v>45145</v>
      </c>
      <c r="D17" s="500">
        <v>560</v>
      </c>
      <c r="E17" s="500">
        <v>0</v>
      </c>
      <c r="F17" s="500">
        <v>12</v>
      </c>
      <c r="G17" s="500">
        <v>0</v>
      </c>
      <c r="H17" s="500">
        <v>34</v>
      </c>
      <c r="I17" s="773">
        <v>111</v>
      </c>
      <c r="J17" s="214">
        <f t="shared" si="0"/>
        <v>717</v>
      </c>
      <c r="K17" s="506">
        <f t="shared" si="1"/>
        <v>1428.54</v>
      </c>
    </row>
    <row r="18" spans="3:11" x14ac:dyDescent="0.3">
      <c r="C18" s="36">
        <f t="shared" si="2"/>
        <v>45146</v>
      </c>
      <c r="D18" s="500">
        <v>566</v>
      </c>
      <c r="E18" s="500">
        <v>0</v>
      </c>
      <c r="F18" s="500">
        <v>12</v>
      </c>
      <c r="G18" s="500">
        <v>0</v>
      </c>
      <c r="H18" s="500">
        <v>40</v>
      </c>
      <c r="I18" s="773">
        <v>122</v>
      </c>
      <c r="J18" s="214">
        <f t="shared" si="0"/>
        <v>740</v>
      </c>
      <c r="K18" s="506">
        <f t="shared" si="1"/>
        <v>1474.96</v>
      </c>
    </row>
    <row r="19" spans="3:11" x14ac:dyDescent="0.3">
      <c r="C19" s="36">
        <f t="shared" si="2"/>
        <v>45147</v>
      </c>
      <c r="D19" s="500">
        <v>577</v>
      </c>
      <c r="E19" s="500">
        <v>0</v>
      </c>
      <c r="F19" s="500">
        <v>12</v>
      </c>
      <c r="G19" s="500">
        <v>0</v>
      </c>
      <c r="H19" s="500">
        <v>37</v>
      </c>
      <c r="I19" s="773">
        <v>124</v>
      </c>
      <c r="J19" s="214">
        <f t="shared" si="0"/>
        <v>750</v>
      </c>
      <c r="K19" s="506">
        <f t="shared" si="1"/>
        <v>1494.92</v>
      </c>
    </row>
    <row r="20" spans="3:11" x14ac:dyDescent="0.3">
      <c r="C20" s="36">
        <f t="shared" si="2"/>
        <v>45148</v>
      </c>
      <c r="D20" s="500">
        <v>561</v>
      </c>
      <c r="E20" s="500">
        <v>0</v>
      </c>
      <c r="F20" s="500">
        <v>12</v>
      </c>
      <c r="G20" s="500">
        <v>0</v>
      </c>
      <c r="H20" s="500">
        <v>41</v>
      </c>
      <c r="I20" s="773">
        <v>124</v>
      </c>
      <c r="J20" s="214">
        <f t="shared" si="0"/>
        <v>738</v>
      </c>
      <c r="K20" s="506">
        <f t="shared" si="1"/>
        <v>1471.16</v>
      </c>
    </row>
    <row r="21" spans="3:11" x14ac:dyDescent="0.3">
      <c r="C21" s="36">
        <f t="shared" si="2"/>
        <v>45149</v>
      </c>
      <c r="D21" s="500">
        <v>563</v>
      </c>
      <c r="E21" s="500">
        <v>0</v>
      </c>
      <c r="F21" s="500">
        <v>3</v>
      </c>
      <c r="G21" s="500">
        <v>0</v>
      </c>
      <c r="H21" s="500">
        <v>31</v>
      </c>
      <c r="I21" s="773">
        <v>126</v>
      </c>
      <c r="J21" s="214">
        <f t="shared" si="0"/>
        <v>723</v>
      </c>
      <c r="K21" s="506">
        <f t="shared" si="1"/>
        <v>1441.62</v>
      </c>
    </row>
    <row r="22" spans="3:11" x14ac:dyDescent="0.3">
      <c r="C22" s="36">
        <f t="shared" si="2"/>
        <v>45150</v>
      </c>
      <c r="D22" s="500">
        <v>391</v>
      </c>
      <c r="E22" s="500">
        <v>0</v>
      </c>
      <c r="F22" s="500">
        <v>3</v>
      </c>
      <c r="G22" s="500">
        <v>0</v>
      </c>
      <c r="H22" s="500">
        <v>13</v>
      </c>
      <c r="I22" s="773">
        <v>25</v>
      </c>
      <c r="J22" s="214">
        <f t="shared" si="0"/>
        <v>432</v>
      </c>
      <c r="K22" s="506">
        <f t="shared" si="1"/>
        <v>857.36</v>
      </c>
    </row>
    <row r="23" spans="3:11" x14ac:dyDescent="0.3">
      <c r="C23" s="36">
        <f t="shared" si="2"/>
        <v>45151</v>
      </c>
      <c r="D23" s="500">
        <v>391</v>
      </c>
      <c r="E23" s="500">
        <v>0</v>
      </c>
      <c r="F23" s="500">
        <v>3</v>
      </c>
      <c r="G23" s="500">
        <v>0</v>
      </c>
      <c r="H23" s="500">
        <v>14</v>
      </c>
      <c r="I23" s="773">
        <v>25</v>
      </c>
      <c r="J23" s="214">
        <f t="shared" si="0"/>
        <v>433</v>
      </c>
      <c r="K23" s="506">
        <f t="shared" si="1"/>
        <v>859.34</v>
      </c>
    </row>
    <row r="24" spans="3:11" x14ac:dyDescent="0.3">
      <c r="C24" s="36">
        <f t="shared" si="2"/>
        <v>45152</v>
      </c>
      <c r="D24" s="500">
        <v>562</v>
      </c>
      <c r="E24" s="500">
        <v>0</v>
      </c>
      <c r="F24" s="500">
        <v>3</v>
      </c>
      <c r="G24" s="500">
        <v>0</v>
      </c>
      <c r="H24" s="500">
        <v>36</v>
      </c>
      <c r="I24" s="773">
        <v>121</v>
      </c>
      <c r="J24" s="214">
        <f t="shared" si="0"/>
        <v>722</v>
      </c>
      <c r="K24" s="506">
        <f t="shared" si="1"/>
        <v>1439.24</v>
      </c>
    </row>
    <row r="25" spans="3:11" x14ac:dyDescent="0.3">
      <c r="C25" s="36">
        <f t="shared" si="2"/>
        <v>45153</v>
      </c>
      <c r="D25" s="773">
        <v>561</v>
      </c>
      <c r="E25" s="773">
        <v>0</v>
      </c>
      <c r="F25" s="773">
        <v>3</v>
      </c>
      <c r="G25" s="773">
        <v>0</v>
      </c>
      <c r="H25" s="773">
        <v>37</v>
      </c>
      <c r="I25" s="773">
        <v>109</v>
      </c>
      <c r="J25" s="214">
        <f t="shared" si="0"/>
        <v>710</v>
      </c>
      <c r="K25" s="506">
        <f t="shared" si="1"/>
        <v>1414.52</v>
      </c>
    </row>
    <row r="26" spans="3:11" x14ac:dyDescent="0.3">
      <c r="C26" s="36">
        <f t="shared" si="2"/>
        <v>45154</v>
      </c>
      <c r="D26" s="773">
        <v>567</v>
      </c>
      <c r="E26" s="773">
        <v>0</v>
      </c>
      <c r="F26" s="773">
        <v>3</v>
      </c>
      <c r="G26" s="773">
        <v>0</v>
      </c>
      <c r="H26" s="773">
        <v>40</v>
      </c>
      <c r="I26" s="773">
        <v>125</v>
      </c>
      <c r="J26" s="214">
        <f t="shared" si="0"/>
        <v>735</v>
      </c>
      <c r="K26" s="506">
        <f t="shared" si="1"/>
        <v>1465.3</v>
      </c>
    </row>
    <row r="27" spans="3:11" x14ac:dyDescent="0.3">
      <c r="C27" s="36">
        <f t="shared" si="2"/>
        <v>45155</v>
      </c>
      <c r="D27" s="773">
        <v>576</v>
      </c>
      <c r="E27" s="773">
        <v>0</v>
      </c>
      <c r="F27" s="773">
        <v>3</v>
      </c>
      <c r="G27" s="773">
        <v>0</v>
      </c>
      <c r="H27" s="773">
        <v>39</v>
      </c>
      <c r="I27" s="773">
        <v>120</v>
      </c>
      <c r="J27" s="214">
        <f t="shared" si="0"/>
        <v>738</v>
      </c>
      <c r="K27" s="506">
        <f t="shared" si="1"/>
        <v>1470.8400000000001</v>
      </c>
    </row>
    <row r="28" spans="3:11" x14ac:dyDescent="0.3">
      <c r="C28" s="36">
        <f t="shared" si="2"/>
        <v>45156</v>
      </c>
      <c r="D28" s="773">
        <v>562</v>
      </c>
      <c r="E28" s="773">
        <v>0</v>
      </c>
      <c r="F28" s="773">
        <v>3</v>
      </c>
      <c r="G28" s="773">
        <v>0</v>
      </c>
      <c r="H28" s="773">
        <v>42</v>
      </c>
      <c r="I28" s="773">
        <v>124</v>
      </c>
      <c r="J28" s="214">
        <f t="shared" si="0"/>
        <v>731</v>
      </c>
      <c r="K28" s="506">
        <f t="shared" si="1"/>
        <v>1457.3</v>
      </c>
    </row>
    <row r="29" spans="3:11" x14ac:dyDescent="0.3">
      <c r="C29" s="36">
        <f t="shared" si="2"/>
        <v>45157</v>
      </c>
      <c r="D29" s="773">
        <v>384</v>
      </c>
      <c r="E29" s="773">
        <v>0</v>
      </c>
      <c r="F29" s="773">
        <v>3</v>
      </c>
      <c r="G29" s="773">
        <v>0</v>
      </c>
      <c r="H29" s="773">
        <v>7</v>
      </c>
      <c r="I29" s="773">
        <v>50</v>
      </c>
      <c r="J29" s="214">
        <f t="shared" si="0"/>
        <v>444</v>
      </c>
      <c r="K29" s="506">
        <f t="shared" si="1"/>
        <v>883.12</v>
      </c>
    </row>
    <row r="30" spans="3:11" x14ac:dyDescent="0.3">
      <c r="C30" s="36">
        <f t="shared" si="2"/>
        <v>45158</v>
      </c>
      <c r="D30" s="773">
        <v>407</v>
      </c>
      <c r="E30" s="773">
        <v>0</v>
      </c>
      <c r="F30" s="773">
        <v>3</v>
      </c>
      <c r="G30" s="773">
        <v>0</v>
      </c>
      <c r="H30" s="773">
        <v>10</v>
      </c>
      <c r="I30" s="773">
        <v>25</v>
      </c>
      <c r="J30" s="214">
        <f t="shared" si="0"/>
        <v>445</v>
      </c>
      <c r="K30" s="506">
        <f t="shared" si="1"/>
        <v>883.1</v>
      </c>
    </row>
    <row r="31" spans="3:11" x14ac:dyDescent="0.3">
      <c r="C31" s="36">
        <f t="shared" si="2"/>
        <v>45159</v>
      </c>
      <c r="D31" s="773">
        <v>571</v>
      </c>
      <c r="E31" s="773">
        <v>0</v>
      </c>
      <c r="F31" s="773">
        <v>3</v>
      </c>
      <c r="G31" s="773">
        <v>0</v>
      </c>
      <c r="H31" s="773">
        <v>43</v>
      </c>
      <c r="I31" s="773">
        <v>116</v>
      </c>
      <c r="J31" s="214">
        <f t="shared" si="0"/>
        <v>733</v>
      </c>
      <c r="K31" s="506">
        <f t="shared" si="1"/>
        <v>1460.6200000000001</v>
      </c>
    </row>
    <row r="32" spans="3:11" x14ac:dyDescent="0.3">
      <c r="C32" s="36">
        <f t="shared" si="2"/>
        <v>45160</v>
      </c>
      <c r="D32" s="773">
        <v>571</v>
      </c>
      <c r="E32" s="773">
        <v>0</v>
      </c>
      <c r="F32" s="773">
        <v>9</v>
      </c>
      <c r="G32" s="773">
        <v>0</v>
      </c>
      <c r="H32" s="773">
        <v>45</v>
      </c>
      <c r="I32" s="773">
        <v>116</v>
      </c>
      <c r="J32" s="214">
        <f t="shared" si="0"/>
        <v>741</v>
      </c>
      <c r="K32" s="506">
        <f t="shared" si="1"/>
        <v>1476.46</v>
      </c>
    </row>
    <row r="33" spans="2:11" x14ac:dyDescent="0.3">
      <c r="C33" s="36">
        <f t="shared" si="2"/>
        <v>45161</v>
      </c>
      <c r="D33" s="773">
        <v>558</v>
      </c>
      <c r="E33" s="773">
        <v>0</v>
      </c>
      <c r="F33" s="773">
        <v>12</v>
      </c>
      <c r="G33" s="773">
        <v>0</v>
      </c>
      <c r="H33" s="773">
        <v>47</v>
      </c>
      <c r="I33" s="773">
        <v>126</v>
      </c>
      <c r="J33" s="214">
        <f t="shared" si="0"/>
        <v>743</v>
      </c>
      <c r="K33" s="506">
        <f t="shared" si="1"/>
        <v>1481.22</v>
      </c>
    </row>
    <row r="34" spans="2:11" x14ac:dyDescent="0.3">
      <c r="C34" s="36">
        <f t="shared" si="2"/>
        <v>45162</v>
      </c>
      <c r="D34" s="773">
        <v>576</v>
      </c>
      <c r="E34" s="773">
        <v>0</v>
      </c>
      <c r="F34" s="773">
        <v>12</v>
      </c>
      <c r="G34" s="773">
        <v>0</v>
      </c>
      <c r="H34" s="773">
        <v>42</v>
      </c>
      <c r="I34" s="773">
        <v>112</v>
      </c>
      <c r="J34" s="214">
        <f t="shared" si="0"/>
        <v>742</v>
      </c>
      <c r="K34" s="506">
        <f t="shared" si="1"/>
        <v>1478.1200000000001</v>
      </c>
    </row>
    <row r="35" spans="2:11" x14ac:dyDescent="0.3">
      <c r="C35" s="36">
        <f t="shared" si="2"/>
        <v>45163</v>
      </c>
      <c r="D35" s="773">
        <v>583</v>
      </c>
      <c r="E35" s="773">
        <v>0</v>
      </c>
      <c r="F35" s="773">
        <v>12</v>
      </c>
      <c r="G35" s="773">
        <v>0</v>
      </c>
      <c r="H35" s="773">
        <v>34</v>
      </c>
      <c r="I35" s="773">
        <v>107</v>
      </c>
      <c r="J35" s="214">
        <f t="shared" si="0"/>
        <v>736</v>
      </c>
      <c r="K35" s="506">
        <f t="shared" si="1"/>
        <v>1465.8400000000001</v>
      </c>
    </row>
    <row r="36" spans="2:11" x14ac:dyDescent="0.3">
      <c r="C36" s="36">
        <f t="shared" si="2"/>
        <v>45164</v>
      </c>
      <c r="D36" s="773">
        <v>401</v>
      </c>
      <c r="E36" s="773">
        <v>0</v>
      </c>
      <c r="F36" s="773">
        <v>12</v>
      </c>
      <c r="G36" s="773">
        <v>0</v>
      </c>
      <c r="H36" s="773">
        <v>7</v>
      </c>
      <c r="I36" s="773">
        <v>50</v>
      </c>
      <c r="J36" s="214">
        <f t="shared" si="0"/>
        <v>470</v>
      </c>
      <c r="K36" s="506">
        <f t="shared" si="1"/>
        <v>934.6</v>
      </c>
    </row>
    <row r="37" spans="2:11" x14ac:dyDescent="0.3">
      <c r="C37" s="36">
        <f t="shared" si="2"/>
        <v>45165</v>
      </c>
      <c r="D37" s="773">
        <v>386</v>
      </c>
      <c r="E37" s="773">
        <v>0</v>
      </c>
      <c r="F37" s="773">
        <v>12</v>
      </c>
      <c r="G37" s="773">
        <v>0</v>
      </c>
      <c r="H37" s="773">
        <v>20</v>
      </c>
      <c r="I37" s="773">
        <v>25</v>
      </c>
      <c r="J37" s="214">
        <f t="shared" si="0"/>
        <v>443</v>
      </c>
      <c r="K37" s="506">
        <f t="shared" si="1"/>
        <v>879.14</v>
      </c>
    </row>
    <row r="38" spans="2:11" x14ac:dyDescent="0.3">
      <c r="C38" s="36">
        <f t="shared" si="2"/>
        <v>45166</v>
      </c>
      <c r="D38" s="773">
        <v>570</v>
      </c>
      <c r="E38" s="773">
        <v>0</v>
      </c>
      <c r="F38" s="773">
        <v>12</v>
      </c>
      <c r="G38" s="773">
        <v>0</v>
      </c>
      <c r="H38" s="773">
        <v>39</v>
      </c>
      <c r="I38" s="773">
        <v>116</v>
      </c>
      <c r="J38" s="214">
        <f t="shared" si="0"/>
        <v>737</v>
      </c>
      <c r="K38" s="506">
        <f t="shared" si="1"/>
        <v>1468.54</v>
      </c>
    </row>
    <row r="39" spans="2:11" x14ac:dyDescent="0.3">
      <c r="C39" s="36">
        <f t="shared" si="2"/>
        <v>45167</v>
      </c>
      <c r="D39" s="773">
        <v>558</v>
      </c>
      <c r="E39" s="773">
        <v>0</v>
      </c>
      <c r="F39" s="773">
        <v>12</v>
      </c>
      <c r="G39" s="773">
        <v>0</v>
      </c>
      <c r="H39" s="773">
        <v>43</v>
      </c>
      <c r="I39" s="773">
        <v>124</v>
      </c>
      <c r="J39" s="500">
        <f t="shared" si="0"/>
        <v>737</v>
      </c>
      <c r="K39" s="506">
        <f t="shared" si="1"/>
        <v>1469.18</v>
      </c>
    </row>
    <row r="40" spans="2:11" x14ac:dyDescent="0.3">
      <c r="C40" s="36">
        <f t="shared" si="2"/>
        <v>45168</v>
      </c>
      <c r="D40" s="773">
        <v>543</v>
      </c>
      <c r="E40" s="773">
        <v>0</v>
      </c>
      <c r="F40" s="773">
        <v>12</v>
      </c>
      <c r="G40" s="773">
        <v>0</v>
      </c>
      <c r="H40" s="773">
        <v>41</v>
      </c>
      <c r="I40" s="773">
        <v>124</v>
      </c>
      <c r="J40" s="500">
        <f t="shared" si="0"/>
        <v>720</v>
      </c>
      <c r="K40" s="506">
        <f t="shared" si="1"/>
        <v>1435.52</v>
      </c>
    </row>
    <row r="41" spans="2:11" x14ac:dyDescent="0.3">
      <c r="C41" s="36">
        <f t="shared" si="2"/>
        <v>45169</v>
      </c>
      <c r="D41" s="778">
        <v>547</v>
      </c>
      <c r="E41" s="778">
        <v>0</v>
      </c>
      <c r="F41" s="778">
        <v>12</v>
      </c>
      <c r="G41" s="778">
        <v>0</v>
      </c>
      <c r="H41" s="778">
        <v>36</v>
      </c>
      <c r="I41" s="778">
        <v>120</v>
      </c>
      <c r="J41" s="778">
        <f t="shared" si="0"/>
        <v>715</v>
      </c>
      <c r="K41" s="506">
        <f t="shared" si="1"/>
        <v>1425.3</v>
      </c>
    </row>
    <row r="42" spans="2:11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1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1" x14ac:dyDescent="0.3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Bulk'!AC23+'Facility Requested Meals + Bulk'!AC70+'Facility Requested Meals + Bulk'!AC91+'Facility Requested Meals + Bulk'!AC116</f>
        <v>2014.0700000000002</v>
      </c>
    </row>
    <row r="45" spans="2:11" x14ac:dyDescent="0.3">
      <c r="C45" s="36" t="s">
        <v>638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1" x14ac:dyDescent="0.3">
      <c r="C46" s="36" t="s">
        <v>184</v>
      </c>
      <c r="D46" s="192"/>
      <c r="E46" s="192"/>
      <c r="F46" s="192"/>
      <c r="G46" s="192"/>
      <c r="H46" s="192"/>
      <c r="I46" s="214"/>
      <c r="J46" s="192"/>
      <c r="K46" s="38">
        <v>0</v>
      </c>
    </row>
    <row r="47" spans="2:11" x14ac:dyDescent="0.3">
      <c r="B47" t="s">
        <v>165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-'August - EE Credits FY23  '!O6</f>
        <v>-5038.5999999999995</v>
      </c>
    </row>
    <row r="48" spans="2:11" x14ac:dyDescent="0.3">
      <c r="B48" t="s">
        <v>165</v>
      </c>
      <c r="C48" s="36" t="s">
        <v>232</v>
      </c>
      <c r="D48" s="192"/>
      <c r="E48" s="192"/>
      <c r="F48" s="192"/>
      <c r="G48" s="192"/>
      <c r="H48" s="192"/>
      <c r="I48" s="214"/>
      <c r="J48" s="192"/>
      <c r="K48" s="38">
        <f>-'August - EE Credits FY23  '!P6</f>
        <v>154.44316546762593</v>
      </c>
    </row>
    <row r="49" spans="2:12" x14ac:dyDescent="0.3">
      <c r="B49" t="s">
        <v>165</v>
      </c>
      <c r="C49" s="36" t="s">
        <v>245</v>
      </c>
      <c r="D49" s="192"/>
      <c r="E49" s="192"/>
      <c r="F49" s="192"/>
      <c r="G49" s="192"/>
      <c r="H49" s="192"/>
      <c r="I49" s="214"/>
      <c r="J49" s="192"/>
      <c r="K49" s="38">
        <v>0</v>
      </c>
    </row>
    <row r="50" spans="2:12" x14ac:dyDescent="0.3">
      <c r="B50" t="s">
        <v>165</v>
      </c>
      <c r="C50" s="36" t="s">
        <v>243</v>
      </c>
      <c r="D50" s="192"/>
      <c r="E50" s="192"/>
      <c r="F50" s="192"/>
      <c r="G50" s="192"/>
      <c r="H50" s="192"/>
      <c r="I50" s="214"/>
      <c r="J50" s="192"/>
      <c r="K50" s="38">
        <f>'State to ARA Charge Aug FY23'!CK84</f>
        <v>0</v>
      </c>
    </row>
    <row r="51" spans="2:12" x14ac:dyDescent="0.3">
      <c r="C51" s="36" t="s">
        <v>638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36" t="s">
        <v>194</v>
      </c>
      <c r="D52" s="207"/>
      <c r="E52" s="207"/>
      <c r="F52" s="207"/>
      <c r="G52" s="207"/>
      <c r="H52" s="207"/>
      <c r="I52" s="207"/>
      <c r="J52" s="207"/>
      <c r="K52" s="223">
        <v>0</v>
      </c>
    </row>
    <row r="53" spans="2:12" x14ac:dyDescent="0.3">
      <c r="C53" s="222"/>
      <c r="D53" s="207" t="s">
        <v>206</v>
      </c>
      <c r="E53" s="207"/>
      <c r="F53" s="207"/>
      <c r="G53" s="207"/>
      <c r="H53" s="207"/>
      <c r="I53" s="207"/>
      <c r="J53" s="207"/>
      <c r="K53" s="224">
        <f>SUM(K44:K52)</f>
        <v>-2870.0868345323734</v>
      </c>
    </row>
    <row r="54" spans="2:12" ht="15" thickBot="1" x14ac:dyDescent="0.35">
      <c r="C54" s="40"/>
      <c r="D54" s="194"/>
      <c r="E54" s="194"/>
      <c r="F54" s="194"/>
      <c r="G54" s="194"/>
      <c r="H54" s="194"/>
      <c r="I54" s="194"/>
      <c r="J54" s="194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3">
      <c r="D56" s="212">
        <f>SUM(D10:D40)</f>
        <v>15570</v>
      </c>
      <c r="E56" s="212">
        <f t="shared" ref="E56:J56" si="4">SUM(E10:E40)</f>
        <v>0</v>
      </c>
      <c r="F56" s="212">
        <f t="shared" si="4"/>
        <v>258</v>
      </c>
      <c r="G56" s="212">
        <f t="shared" si="4"/>
        <v>0</v>
      </c>
      <c r="H56" s="212">
        <f t="shared" si="4"/>
        <v>1003</v>
      </c>
      <c r="I56" s="212">
        <f t="shared" si="4"/>
        <v>2824</v>
      </c>
      <c r="J56" s="212">
        <f t="shared" si="4"/>
        <v>19655</v>
      </c>
    </row>
    <row r="57" spans="2:12" x14ac:dyDescent="0.3">
      <c r="C57" s="42" t="s">
        <v>13</v>
      </c>
      <c r="D57" s="212">
        <f>SUM(D11:D41)</f>
        <v>16117</v>
      </c>
      <c r="E57" s="212">
        <f t="shared" ref="E57:J57" si="5">SUM(E11:E41)</f>
        <v>0</v>
      </c>
      <c r="F57" s="212">
        <f t="shared" si="5"/>
        <v>270</v>
      </c>
      <c r="G57" s="212">
        <f t="shared" si="5"/>
        <v>0</v>
      </c>
      <c r="H57" s="212">
        <f t="shared" si="5"/>
        <v>1039</v>
      </c>
      <c r="I57" s="212">
        <f t="shared" si="5"/>
        <v>2944</v>
      </c>
      <c r="J57" s="212">
        <f t="shared" si="5"/>
        <v>20370</v>
      </c>
      <c r="K57" s="168">
        <f>(SUM(D57:H57)*1.98)+(I57*2.06)</f>
        <v>40568.120000000003</v>
      </c>
    </row>
    <row r="58" spans="2:12" ht="15" customHeight="1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79"/>
      <c r="I59" s="188" t="s">
        <v>241</v>
      </c>
      <c r="J59" s="884">
        <f>K53+K57+K58</f>
        <v>37698.033165467627</v>
      </c>
      <c r="K59" s="884"/>
      <c r="L59" s="41"/>
    </row>
    <row r="68" hidden="1" x14ac:dyDescent="0.3"/>
  </sheetData>
  <mergeCells count="4">
    <mergeCell ref="J59:K59"/>
    <mergeCell ref="G6:J6"/>
    <mergeCell ref="G5:J5"/>
    <mergeCell ref="J7:K7"/>
  </mergeCells>
  <pageMargins left="0.45" right="0.45" top="0.25" bottom="0.25" header="0" footer="0"/>
  <pageSetup scale="59" fitToHeight="0" orientation="portrait" r:id="rId1"/>
  <rowBreaks count="2" manualBreakCount="2">
    <brk id="62" max="11" man="1"/>
    <brk id="66" max="11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5:N67"/>
  <sheetViews>
    <sheetView showGridLines="0" topLeftCell="A36" zoomScale="90" zoomScaleNormal="90" workbookViewId="0">
      <selection activeCell="C46" sqref="C46"/>
    </sheetView>
  </sheetViews>
  <sheetFormatPr defaultRowHeight="14.4" x14ac:dyDescent="0.3"/>
  <cols>
    <col min="2" max="2" width="8" customWidth="1"/>
    <col min="3" max="3" width="12.5546875" customWidth="1"/>
    <col min="4" max="9" width="18" customWidth="1"/>
    <col min="10" max="10" width="13.109375" bestFit="1" customWidth="1"/>
    <col min="11" max="11" width="15.5546875" bestFit="1" customWidth="1"/>
    <col min="12" max="12" width="11.44140625" style="233" customWidth="1"/>
    <col min="13" max="14" width="9.109375" style="233"/>
  </cols>
  <sheetData>
    <row r="5" spans="2:14" ht="25.8" x14ac:dyDescent="0.5">
      <c r="G5" s="880" t="s">
        <v>10</v>
      </c>
      <c r="H5" s="880"/>
      <c r="I5" s="880"/>
      <c r="J5" s="880"/>
      <c r="K5" s="37"/>
      <c r="L5" s="367"/>
      <c r="M5" s="367"/>
      <c r="N5" s="367"/>
    </row>
    <row r="6" spans="2:14" ht="18" x14ac:dyDescent="0.35">
      <c r="B6" s="43" t="s">
        <v>12</v>
      </c>
      <c r="C6" s="44">
        <f>'DOC Invoice'!J2</f>
        <v>11</v>
      </c>
      <c r="G6" s="879" t="s">
        <v>143</v>
      </c>
      <c r="H6" s="879"/>
      <c r="I6" s="879"/>
      <c r="J6" s="879"/>
      <c r="K6" s="181"/>
      <c r="L6" s="368"/>
      <c r="M6" s="368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144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4"/>
      <c r="N10" s="4"/>
    </row>
    <row r="11" spans="2:14" ht="15" thickBot="1" x14ac:dyDescent="0.35">
      <c r="C11" s="36">
        <f>C7</f>
        <v>45139</v>
      </c>
      <c r="D11" s="500">
        <v>4709</v>
      </c>
      <c r="E11" s="500">
        <v>147</v>
      </c>
      <c r="F11" s="500">
        <v>255</v>
      </c>
      <c r="G11" s="500">
        <v>0</v>
      </c>
      <c r="H11" s="500">
        <v>108</v>
      </c>
      <c r="I11" s="774">
        <v>43</v>
      </c>
      <c r="J11" s="499">
        <f>SUM(D11:I11)</f>
        <v>5262</v>
      </c>
      <c r="K11" s="506">
        <f>(SUM(D11:H11)*1.98)+(I11*2.06)</f>
        <v>10422.200000000001</v>
      </c>
      <c r="M11" s="369"/>
      <c r="N11" s="369"/>
    </row>
    <row r="12" spans="2:14" ht="15" thickBot="1" x14ac:dyDescent="0.35">
      <c r="C12" s="36">
        <f>IF(C11+1&lt;=$C$8,C11+1,0)</f>
        <v>45140</v>
      </c>
      <c r="D12" s="500">
        <v>4759</v>
      </c>
      <c r="E12" s="500">
        <v>147</v>
      </c>
      <c r="F12" s="500">
        <v>255</v>
      </c>
      <c r="G12" s="500">
        <v>0</v>
      </c>
      <c r="H12" s="500">
        <v>97</v>
      </c>
      <c r="I12" s="773">
        <v>73</v>
      </c>
      <c r="J12" s="499">
        <f t="shared" ref="J12:J41" si="0">SUM(D12:I12)</f>
        <v>5331</v>
      </c>
      <c r="K12" s="506">
        <f t="shared" ref="K12:K41" si="1">(SUM(D12:H12)*1.98)+(I12*2.06)</f>
        <v>10561.22</v>
      </c>
    </row>
    <row r="13" spans="2:14" ht="15" thickBot="1" x14ac:dyDescent="0.35">
      <c r="C13" s="36">
        <f t="shared" ref="C13:C41" si="2">IF(C12+1&lt;=$C$8,C12+1,0)</f>
        <v>45141</v>
      </c>
      <c r="D13" s="500">
        <v>4654</v>
      </c>
      <c r="E13" s="500">
        <v>147</v>
      </c>
      <c r="F13" s="500">
        <v>258</v>
      </c>
      <c r="G13" s="500">
        <v>0</v>
      </c>
      <c r="H13" s="500">
        <v>88</v>
      </c>
      <c r="I13" s="773">
        <v>53</v>
      </c>
      <c r="J13" s="499">
        <f t="shared" si="0"/>
        <v>5200</v>
      </c>
      <c r="K13" s="506">
        <f t="shared" si="1"/>
        <v>10300.24</v>
      </c>
    </row>
    <row r="14" spans="2:14" ht="15" thickBot="1" x14ac:dyDescent="0.35">
      <c r="C14" s="36">
        <f t="shared" si="2"/>
        <v>45142</v>
      </c>
      <c r="D14" s="500">
        <v>4652</v>
      </c>
      <c r="E14" s="500">
        <v>147</v>
      </c>
      <c r="F14" s="500">
        <v>258</v>
      </c>
      <c r="G14" s="500">
        <v>0</v>
      </c>
      <c r="H14" s="500">
        <v>83</v>
      </c>
      <c r="I14" s="773">
        <v>26</v>
      </c>
      <c r="J14" s="499">
        <f t="shared" si="0"/>
        <v>5166</v>
      </c>
      <c r="K14" s="506">
        <f t="shared" si="1"/>
        <v>10230.76</v>
      </c>
      <c r="L14" s="4"/>
    </row>
    <row r="15" spans="2:14" ht="15" thickBot="1" x14ac:dyDescent="0.35">
      <c r="C15" s="36">
        <f t="shared" si="2"/>
        <v>45143</v>
      </c>
      <c r="D15" s="500">
        <v>3127</v>
      </c>
      <c r="E15" s="500">
        <v>100</v>
      </c>
      <c r="F15" s="500">
        <v>241</v>
      </c>
      <c r="G15" s="500">
        <v>0</v>
      </c>
      <c r="H15" s="500">
        <v>47</v>
      </c>
      <c r="I15" s="773">
        <v>0</v>
      </c>
      <c r="J15" s="499">
        <f t="shared" si="0"/>
        <v>3515</v>
      </c>
      <c r="K15" s="506">
        <f t="shared" si="1"/>
        <v>6959.7</v>
      </c>
    </row>
    <row r="16" spans="2:14" ht="15" thickBot="1" x14ac:dyDescent="0.35">
      <c r="C16" s="36">
        <f t="shared" si="2"/>
        <v>45144</v>
      </c>
      <c r="D16" s="500">
        <v>3092</v>
      </c>
      <c r="E16" s="500">
        <v>102</v>
      </c>
      <c r="F16" s="500">
        <v>234</v>
      </c>
      <c r="G16" s="500">
        <v>0</v>
      </c>
      <c r="H16" s="500">
        <v>40</v>
      </c>
      <c r="I16" s="773">
        <v>0</v>
      </c>
      <c r="J16" s="499">
        <f t="shared" si="0"/>
        <v>3468</v>
      </c>
      <c r="K16" s="506">
        <f t="shared" si="1"/>
        <v>6866.64</v>
      </c>
    </row>
    <row r="17" spans="3:11" ht="15" thickBot="1" x14ac:dyDescent="0.35">
      <c r="C17" s="36">
        <f t="shared" si="2"/>
        <v>45145</v>
      </c>
      <c r="D17" s="500">
        <v>4670</v>
      </c>
      <c r="E17" s="500">
        <v>153</v>
      </c>
      <c r="F17" s="500">
        <v>234</v>
      </c>
      <c r="G17" s="500">
        <v>0</v>
      </c>
      <c r="H17" s="500">
        <v>55</v>
      </c>
      <c r="I17" s="773">
        <v>54</v>
      </c>
      <c r="J17" s="499">
        <f t="shared" si="0"/>
        <v>5166</v>
      </c>
      <c r="K17" s="506">
        <f t="shared" si="1"/>
        <v>10233</v>
      </c>
    </row>
    <row r="18" spans="3:11" ht="15" thickBot="1" x14ac:dyDescent="0.35">
      <c r="C18" s="36">
        <f t="shared" si="2"/>
        <v>45146</v>
      </c>
      <c r="D18" s="500">
        <v>4617</v>
      </c>
      <c r="E18" s="500">
        <v>152</v>
      </c>
      <c r="F18" s="500">
        <v>235</v>
      </c>
      <c r="G18" s="500">
        <v>0</v>
      </c>
      <c r="H18" s="500">
        <v>62</v>
      </c>
      <c r="I18" s="773">
        <v>46</v>
      </c>
      <c r="J18" s="499">
        <f t="shared" si="0"/>
        <v>5112</v>
      </c>
      <c r="K18" s="506">
        <f t="shared" si="1"/>
        <v>10125.44</v>
      </c>
    </row>
    <row r="19" spans="3:11" ht="15" thickBot="1" x14ac:dyDescent="0.35">
      <c r="C19" s="36">
        <f t="shared" si="2"/>
        <v>45147</v>
      </c>
      <c r="D19" s="500">
        <v>4674</v>
      </c>
      <c r="E19" s="500">
        <v>150</v>
      </c>
      <c r="F19" s="500">
        <v>237</v>
      </c>
      <c r="G19" s="500">
        <v>0</v>
      </c>
      <c r="H19" s="500">
        <v>56</v>
      </c>
      <c r="I19" s="773">
        <v>53</v>
      </c>
      <c r="J19" s="499">
        <f t="shared" si="0"/>
        <v>5170</v>
      </c>
      <c r="K19" s="506">
        <f t="shared" si="1"/>
        <v>10240.84</v>
      </c>
    </row>
    <row r="20" spans="3:11" ht="15" thickBot="1" x14ac:dyDescent="0.35">
      <c r="C20" s="36">
        <f t="shared" si="2"/>
        <v>45148</v>
      </c>
      <c r="D20" s="500">
        <v>4812</v>
      </c>
      <c r="E20" s="500">
        <v>156</v>
      </c>
      <c r="F20" s="500">
        <v>243</v>
      </c>
      <c r="G20" s="500">
        <v>0</v>
      </c>
      <c r="H20" s="500">
        <v>55</v>
      </c>
      <c r="I20" s="773">
        <v>32</v>
      </c>
      <c r="J20" s="499">
        <f t="shared" si="0"/>
        <v>5298</v>
      </c>
      <c r="K20" s="506">
        <f t="shared" si="1"/>
        <v>10492.6</v>
      </c>
    </row>
    <row r="21" spans="3:11" ht="15" thickBot="1" x14ac:dyDescent="0.35">
      <c r="C21" s="36">
        <f t="shared" si="2"/>
        <v>45149</v>
      </c>
      <c r="D21" s="500">
        <v>4655</v>
      </c>
      <c r="E21" s="500">
        <v>156</v>
      </c>
      <c r="F21" s="500">
        <v>243</v>
      </c>
      <c r="G21" s="500">
        <v>0</v>
      </c>
      <c r="H21" s="500">
        <v>35</v>
      </c>
      <c r="I21" s="773">
        <v>13</v>
      </c>
      <c r="J21" s="499">
        <f t="shared" si="0"/>
        <v>5102</v>
      </c>
      <c r="K21" s="506">
        <f t="shared" si="1"/>
        <v>10103</v>
      </c>
    </row>
    <row r="22" spans="3:11" ht="15" thickBot="1" x14ac:dyDescent="0.35">
      <c r="C22" s="36">
        <f t="shared" si="2"/>
        <v>45150</v>
      </c>
      <c r="D22" s="500">
        <v>3058</v>
      </c>
      <c r="E22" s="500">
        <v>106</v>
      </c>
      <c r="F22" s="500">
        <v>243</v>
      </c>
      <c r="G22" s="500">
        <v>0</v>
      </c>
      <c r="H22" s="500">
        <v>40</v>
      </c>
      <c r="I22" s="773">
        <v>0</v>
      </c>
      <c r="J22" s="499">
        <f t="shared" si="0"/>
        <v>3447</v>
      </c>
      <c r="K22" s="506">
        <f t="shared" si="1"/>
        <v>6825.0599999999995</v>
      </c>
    </row>
    <row r="23" spans="3:11" ht="15" thickBot="1" x14ac:dyDescent="0.35">
      <c r="C23" s="36">
        <f t="shared" si="2"/>
        <v>45151</v>
      </c>
      <c r="D23" s="500">
        <v>3046</v>
      </c>
      <c r="E23" s="500">
        <v>105</v>
      </c>
      <c r="F23" s="500">
        <v>243</v>
      </c>
      <c r="G23" s="500">
        <v>0</v>
      </c>
      <c r="H23" s="500">
        <v>40</v>
      </c>
      <c r="I23" s="773">
        <v>0</v>
      </c>
      <c r="J23" s="499">
        <f t="shared" si="0"/>
        <v>3434</v>
      </c>
      <c r="K23" s="506">
        <f t="shared" si="1"/>
        <v>6799.32</v>
      </c>
    </row>
    <row r="24" spans="3:11" ht="15" thickBot="1" x14ac:dyDescent="0.35">
      <c r="C24" s="36">
        <f t="shared" si="2"/>
        <v>45152</v>
      </c>
      <c r="D24" s="500">
        <v>4644</v>
      </c>
      <c r="E24" s="500">
        <v>159</v>
      </c>
      <c r="F24" s="500">
        <v>243</v>
      </c>
      <c r="G24" s="500">
        <v>0</v>
      </c>
      <c r="H24" s="500">
        <v>45</v>
      </c>
      <c r="I24" s="773">
        <v>36</v>
      </c>
      <c r="J24" s="499">
        <f t="shared" si="0"/>
        <v>5127</v>
      </c>
      <c r="K24" s="506">
        <f t="shared" si="1"/>
        <v>10154.34</v>
      </c>
    </row>
    <row r="25" spans="3:11" ht="15" thickBot="1" x14ac:dyDescent="0.35">
      <c r="C25" s="36">
        <f t="shared" si="2"/>
        <v>45153</v>
      </c>
      <c r="D25" s="773">
        <v>4804</v>
      </c>
      <c r="E25" s="773">
        <v>159</v>
      </c>
      <c r="F25" s="773">
        <v>243</v>
      </c>
      <c r="G25" s="773">
        <v>0</v>
      </c>
      <c r="H25" s="773">
        <v>56</v>
      </c>
      <c r="I25" s="773">
        <v>26</v>
      </c>
      <c r="J25" s="499">
        <f t="shared" si="0"/>
        <v>5288</v>
      </c>
      <c r="K25" s="506">
        <f t="shared" si="1"/>
        <v>10472.32</v>
      </c>
    </row>
    <row r="26" spans="3:11" ht="15" thickBot="1" x14ac:dyDescent="0.35">
      <c r="C26" s="36">
        <f t="shared" si="2"/>
        <v>45154</v>
      </c>
      <c r="D26" s="773">
        <v>4788</v>
      </c>
      <c r="E26" s="773">
        <v>165</v>
      </c>
      <c r="F26" s="773">
        <v>246</v>
      </c>
      <c r="G26" s="773">
        <v>0</v>
      </c>
      <c r="H26" s="773">
        <v>50</v>
      </c>
      <c r="I26" s="773">
        <v>36</v>
      </c>
      <c r="J26" s="499">
        <f t="shared" si="0"/>
        <v>5285</v>
      </c>
      <c r="K26" s="506">
        <f t="shared" si="1"/>
        <v>10467.18</v>
      </c>
    </row>
    <row r="27" spans="3:11" ht="15" thickBot="1" x14ac:dyDescent="0.35">
      <c r="C27" s="36">
        <f t="shared" si="2"/>
        <v>45155</v>
      </c>
      <c r="D27" s="773">
        <v>4628</v>
      </c>
      <c r="E27" s="773">
        <v>164</v>
      </c>
      <c r="F27" s="773">
        <v>251</v>
      </c>
      <c r="G27" s="773">
        <v>0</v>
      </c>
      <c r="H27" s="773">
        <v>57</v>
      </c>
      <c r="I27" s="773">
        <v>100</v>
      </c>
      <c r="J27" s="499">
        <f t="shared" si="0"/>
        <v>5200</v>
      </c>
      <c r="K27" s="506">
        <f t="shared" si="1"/>
        <v>10304</v>
      </c>
    </row>
    <row r="28" spans="3:11" ht="15" thickBot="1" x14ac:dyDescent="0.35">
      <c r="C28" s="36">
        <f t="shared" si="2"/>
        <v>45156</v>
      </c>
      <c r="D28" s="773">
        <v>4652</v>
      </c>
      <c r="E28" s="773">
        <v>164</v>
      </c>
      <c r="F28" s="773">
        <v>249</v>
      </c>
      <c r="G28" s="773">
        <v>0</v>
      </c>
      <c r="H28" s="773">
        <v>32</v>
      </c>
      <c r="I28" s="773">
        <v>48</v>
      </c>
      <c r="J28" s="499">
        <f t="shared" si="0"/>
        <v>5145</v>
      </c>
      <c r="K28" s="506">
        <f t="shared" si="1"/>
        <v>10190.939999999999</v>
      </c>
    </row>
    <row r="29" spans="3:11" ht="15" thickBot="1" x14ac:dyDescent="0.35">
      <c r="C29" s="36">
        <f t="shared" si="2"/>
        <v>45157</v>
      </c>
      <c r="D29" s="773">
        <v>3028</v>
      </c>
      <c r="E29" s="773">
        <v>110</v>
      </c>
      <c r="F29" s="773">
        <v>249</v>
      </c>
      <c r="G29" s="773">
        <v>0</v>
      </c>
      <c r="H29" s="773">
        <v>40</v>
      </c>
      <c r="I29" s="773">
        <v>0</v>
      </c>
      <c r="J29" s="499">
        <f t="shared" si="0"/>
        <v>3427</v>
      </c>
      <c r="K29" s="506">
        <f t="shared" si="1"/>
        <v>6785.46</v>
      </c>
    </row>
    <row r="30" spans="3:11" ht="15" thickBot="1" x14ac:dyDescent="0.35">
      <c r="C30" s="36">
        <f t="shared" si="2"/>
        <v>45158</v>
      </c>
      <c r="D30" s="773">
        <v>3046</v>
      </c>
      <c r="E30" s="773">
        <v>110</v>
      </c>
      <c r="F30" s="773">
        <v>249</v>
      </c>
      <c r="G30" s="773">
        <v>0</v>
      </c>
      <c r="H30" s="773">
        <v>40</v>
      </c>
      <c r="I30" s="773">
        <v>0</v>
      </c>
      <c r="J30" s="499">
        <f t="shared" si="0"/>
        <v>3445</v>
      </c>
      <c r="K30" s="506">
        <f t="shared" si="1"/>
        <v>6821.1</v>
      </c>
    </row>
    <row r="31" spans="3:11" ht="15" thickBot="1" x14ac:dyDescent="0.35">
      <c r="C31" s="36">
        <f t="shared" si="2"/>
        <v>45159</v>
      </c>
      <c r="D31" s="773">
        <v>4651</v>
      </c>
      <c r="E31" s="773">
        <v>162</v>
      </c>
      <c r="F31" s="773">
        <v>249</v>
      </c>
      <c r="G31" s="773">
        <v>0</v>
      </c>
      <c r="H31" s="773">
        <v>54</v>
      </c>
      <c r="I31" s="773">
        <v>63</v>
      </c>
      <c r="J31" s="499">
        <f t="shared" si="0"/>
        <v>5179</v>
      </c>
      <c r="K31" s="506">
        <f t="shared" si="1"/>
        <v>10259.460000000001</v>
      </c>
    </row>
    <row r="32" spans="3:11" ht="15" thickBot="1" x14ac:dyDescent="0.35">
      <c r="C32" s="36">
        <f t="shared" si="2"/>
        <v>45160</v>
      </c>
      <c r="D32" s="773">
        <v>4609</v>
      </c>
      <c r="E32" s="773">
        <v>160</v>
      </c>
      <c r="F32" s="773">
        <v>249</v>
      </c>
      <c r="G32" s="773">
        <v>0</v>
      </c>
      <c r="H32" s="773">
        <v>54</v>
      </c>
      <c r="I32" s="773">
        <v>46</v>
      </c>
      <c r="J32" s="499">
        <f t="shared" si="0"/>
        <v>5118</v>
      </c>
      <c r="K32" s="506">
        <f t="shared" si="1"/>
        <v>10137.32</v>
      </c>
    </row>
    <row r="33" spans="2:11" ht="15" thickBot="1" x14ac:dyDescent="0.35">
      <c r="C33" s="36">
        <f t="shared" si="2"/>
        <v>45161</v>
      </c>
      <c r="D33" s="773">
        <v>4695</v>
      </c>
      <c r="E33" s="773">
        <v>159</v>
      </c>
      <c r="F33" s="773">
        <v>249</v>
      </c>
      <c r="G33" s="773">
        <v>0</v>
      </c>
      <c r="H33" s="773">
        <v>61</v>
      </c>
      <c r="I33" s="773">
        <v>119</v>
      </c>
      <c r="J33" s="499">
        <f t="shared" si="0"/>
        <v>5283</v>
      </c>
      <c r="K33" s="506">
        <f t="shared" si="1"/>
        <v>10469.859999999999</v>
      </c>
    </row>
    <row r="34" spans="2:11" ht="15" thickBot="1" x14ac:dyDescent="0.35">
      <c r="C34" s="36">
        <f t="shared" si="2"/>
        <v>45162</v>
      </c>
      <c r="D34" s="773">
        <v>4582</v>
      </c>
      <c r="E34" s="773">
        <v>159</v>
      </c>
      <c r="F34" s="773">
        <v>249</v>
      </c>
      <c r="G34" s="773">
        <v>0</v>
      </c>
      <c r="H34" s="773">
        <v>46</v>
      </c>
      <c r="I34" s="773">
        <v>76</v>
      </c>
      <c r="J34" s="499">
        <f t="shared" si="0"/>
        <v>5112</v>
      </c>
      <c r="K34" s="506">
        <f t="shared" si="1"/>
        <v>10127.84</v>
      </c>
    </row>
    <row r="35" spans="2:11" ht="15" thickBot="1" x14ac:dyDescent="0.35">
      <c r="C35" s="36">
        <f t="shared" si="2"/>
        <v>45163</v>
      </c>
      <c r="D35" s="773">
        <v>4669</v>
      </c>
      <c r="E35" s="773">
        <v>150</v>
      </c>
      <c r="F35" s="773">
        <v>252</v>
      </c>
      <c r="G35" s="773">
        <v>0</v>
      </c>
      <c r="H35" s="773">
        <v>52</v>
      </c>
      <c r="I35" s="773">
        <v>35</v>
      </c>
      <c r="J35" s="499">
        <f t="shared" si="0"/>
        <v>5158</v>
      </c>
      <c r="K35" s="506">
        <f t="shared" si="1"/>
        <v>10215.64</v>
      </c>
    </row>
    <row r="36" spans="2:11" ht="15" thickBot="1" x14ac:dyDescent="0.35">
      <c r="C36" s="36">
        <f t="shared" si="2"/>
        <v>45164</v>
      </c>
      <c r="D36" s="773">
        <v>3231</v>
      </c>
      <c r="E36" s="773">
        <v>100</v>
      </c>
      <c r="F36" s="773">
        <v>252</v>
      </c>
      <c r="G36" s="773">
        <v>0</v>
      </c>
      <c r="H36" s="773">
        <v>41</v>
      </c>
      <c r="I36" s="773">
        <v>0</v>
      </c>
      <c r="J36" s="499">
        <f t="shared" si="0"/>
        <v>3624</v>
      </c>
      <c r="K36" s="506">
        <f t="shared" si="1"/>
        <v>7175.5199999999995</v>
      </c>
    </row>
    <row r="37" spans="2:11" ht="15" thickBot="1" x14ac:dyDescent="0.35">
      <c r="C37" s="36">
        <f t="shared" si="2"/>
        <v>45165</v>
      </c>
      <c r="D37" s="773">
        <v>3040</v>
      </c>
      <c r="E37" s="773">
        <v>100</v>
      </c>
      <c r="F37" s="773">
        <v>252</v>
      </c>
      <c r="G37" s="773">
        <v>0</v>
      </c>
      <c r="H37" s="773">
        <v>40</v>
      </c>
      <c r="I37" s="773">
        <v>0</v>
      </c>
      <c r="J37" s="499">
        <f t="shared" si="0"/>
        <v>3432</v>
      </c>
      <c r="K37" s="506">
        <f t="shared" si="1"/>
        <v>6795.36</v>
      </c>
    </row>
    <row r="38" spans="2:11" ht="15" thickBot="1" x14ac:dyDescent="0.35">
      <c r="C38" s="36">
        <f t="shared" si="2"/>
        <v>45166</v>
      </c>
      <c r="D38" s="773">
        <v>4704</v>
      </c>
      <c r="E38" s="773">
        <v>150</v>
      </c>
      <c r="F38" s="773">
        <v>253</v>
      </c>
      <c r="G38" s="773">
        <v>0</v>
      </c>
      <c r="H38" s="773">
        <v>42</v>
      </c>
      <c r="I38" s="773">
        <v>50</v>
      </c>
      <c r="J38" s="499">
        <f t="shared" si="0"/>
        <v>5199</v>
      </c>
      <c r="K38" s="506">
        <f t="shared" si="1"/>
        <v>10298.02</v>
      </c>
    </row>
    <row r="39" spans="2:11" ht="15" thickBot="1" x14ac:dyDescent="0.35">
      <c r="C39" s="36">
        <f t="shared" si="2"/>
        <v>45167</v>
      </c>
      <c r="D39" s="773">
        <v>4701</v>
      </c>
      <c r="E39" s="773">
        <v>150</v>
      </c>
      <c r="F39" s="773">
        <v>252</v>
      </c>
      <c r="G39" s="773">
        <v>0</v>
      </c>
      <c r="H39" s="773">
        <v>46</v>
      </c>
      <c r="I39" s="773">
        <v>46</v>
      </c>
      <c r="J39" s="499">
        <f t="shared" si="0"/>
        <v>5195</v>
      </c>
      <c r="K39" s="506">
        <f t="shared" si="1"/>
        <v>10289.780000000001</v>
      </c>
    </row>
    <row r="40" spans="2:11" ht="15" thickBot="1" x14ac:dyDescent="0.35">
      <c r="C40" s="36">
        <f t="shared" si="2"/>
        <v>45168</v>
      </c>
      <c r="D40" s="773">
        <v>4637</v>
      </c>
      <c r="E40" s="773">
        <v>150</v>
      </c>
      <c r="F40" s="773">
        <v>251</v>
      </c>
      <c r="G40" s="773">
        <v>0</v>
      </c>
      <c r="H40" s="773">
        <v>36</v>
      </c>
      <c r="I40" s="773">
        <v>55</v>
      </c>
      <c r="J40" s="499">
        <f t="shared" si="0"/>
        <v>5129</v>
      </c>
      <c r="K40" s="506">
        <f t="shared" si="1"/>
        <v>10159.82</v>
      </c>
    </row>
    <row r="41" spans="2:11" x14ac:dyDescent="0.3">
      <c r="C41" s="36">
        <f t="shared" si="2"/>
        <v>45169</v>
      </c>
      <c r="D41" s="778">
        <v>4645</v>
      </c>
      <c r="E41" s="778">
        <v>155</v>
      </c>
      <c r="F41" s="778">
        <v>252</v>
      </c>
      <c r="G41" s="778">
        <v>0</v>
      </c>
      <c r="H41" s="778">
        <v>64</v>
      </c>
      <c r="I41" s="778">
        <v>53</v>
      </c>
      <c r="J41" s="499">
        <f t="shared" si="0"/>
        <v>5169</v>
      </c>
      <c r="K41" s="506">
        <f t="shared" si="1"/>
        <v>10238.86</v>
      </c>
    </row>
    <row r="42" spans="2:11" x14ac:dyDescent="0.3">
      <c r="C42" s="36"/>
      <c r="D42" s="192"/>
      <c r="E42" s="192"/>
      <c r="F42" s="192"/>
      <c r="G42" s="192"/>
      <c r="H42" s="192"/>
      <c r="I42" s="192"/>
      <c r="J42" s="192"/>
      <c r="K42" s="506">
        <f>(SUM(D42:H42)*1.722)+(I42*1.79)</f>
        <v>0</v>
      </c>
    </row>
    <row r="43" spans="2:11" x14ac:dyDescent="0.3">
      <c r="C43" s="191" t="s">
        <v>186</v>
      </c>
      <c r="D43" s="192"/>
      <c r="E43" s="192"/>
      <c r="F43" s="192"/>
      <c r="G43" s="192"/>
      <c r="H43" s="192"/>
      <c r="I43" s="214"/>
      <c r="J43" s="192"/>
      <c r="K43" s="38"/>
    </row>
    <row r="44" spans="2:11" x14ac:dyDescent="0.3">
      <c r="C44" s="36" t="s">
        <v>197</v>
      </c>
      <c r="D44" s="192"/>
      <c r="E44" s="192"/>
      <c r="F44" s="192"/>
      <c r="G44" s="192"/>
      <c r="H44" s="192"/>
      <c r="I44" s="214"/>
      <c r="J44" s="192"/>
      <c r="K44" s="506">
        <f>'Facility Requested Meals + Bulk'!BY16+'Facility Requested Meals + Bulk'!BY33+'Facility Requested Meals + Bulk'!BY50+'Facility Requested Meals + Bulk'!BY67+'Facility Requested Meals + Bulk'!BY84</f>
        <v>259.24</v>
      </c>
    </row>
    <row r="45" spans="2:11" x14ac:dyDescent="0.3">
      <c r="C45" s="36" t="s">
        <v>670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1" x14ac:dyDescent="0.3">
      <c r="C46" s="36" t="s">
        <v>743</v>
      </c>
      <c r="D46" s="192"/>
      <c r="E46" s="192"/>
      <c r="F46" s="192"/>
      <c r="G46" s="192"/>
      <c r="H46" s="192"/>
      <c r="I46" s="214"/>
      <c r="J46" s="192"/>
      <c r="K46" s="38">
        <v>26787.75</v>
      </c>
    </row>
    <row r="47" spans="2:11" x14ac:dyDescent="0.3">
      <c r="B47" t="s">
        <v>167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-'August - EE Credits FY23  '!O9</f>
        <v>-16145.696</v>
      </c>
    </row>
    <row r="48" spans="2:11" x14ac:dyDescent="0.3">
      <c r="B48" t="s">
        <v>167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-'August - EE Credits FY23  '!P9</f>
        <v>686.19208000000003</v>
      </c>
    </row>
    <row r="49" spans="2:12" x14ac:dyDescent="0.3">
      <c r="B49" t="s">
        <v>167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f>-'August - EE OT'!M9</f>
        <v>0</v>
      </c>
    </row>
    <row r="50" spans="2:12" x14ac:dyDescent="0.3">
      <c r="B50" t="s">
        <v>167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506">
        <f>'State to ARA Charge Aug FY23'!CK87</f>
        <v>124.32</v>
      </c>
    </row>
    <row r="51" spans="2:12" x14ac:dyDescent="0.3">
      <c r="C51" s="36" t="s">
        <v>638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651">
        <f>'Inv Usage Credits'!I73*-1</f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11711.806080000002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3">
      <c r="C57" s="42" t="s">
        <v>13</v>
      </c>
      <c r="D57" s="212">
        <f>SUM(D11:D41)</f>
        <v>132279</v>
      </c>
      <c r="E57" s="212">
        <f t="shared" ref="E57:J57" si="3">SUM(E11:E41)</f>
        <v>4394</v>
      </c>
      <c r="F57" s="212">
        <f t="shared" si="3"/>
        <v>7669</v>
      </c>
      <c r="G57" s="212">
        <f t="shared" si="3"/>
        <v>0</v>
      </c>
      <c r="H57" s="212">
        <f t="shared" si="3"/>
        <v>1662</v>
      </c>
      <c r="I57" s="212">
        <f t="shared" si="3"/>
        <v>1182</v>
      </c>
      <c r="J57" s="212">
        <f t="shared" si="3"/>
        <v>147186</v>
      </c>
      <c r="K57" s="168">
        <f>(SUM(D57:H57)*1.98)+(I57*2.06)</f>
        <v>291522.83999999997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303234.64607999998</v>
      </c>
      <c r="L59" s="370"/>
    </row>
    <row r="67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5:N67"/>
  <sheetViews>
    <sheetView showGridLines="0" topLeftCell="A33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2.21875" customWidth="1"/>
    <col min="4" max="9" width="18" customWidth="1"/>
    <col min="10" max="10" width="13.109375" bestFit="1" customWidth="1"/>
    <col min="11" max="11" width="15.109375" bestFit="1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147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148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ht="15" thickBot="1" x14ac:dyDescent="0.35">
      <c r="C11" s="36">
        <f>C7</f>
        <v>45139</v>
      </c>
      <c r="D11" s="500">
        <v>890</v>
      </c>
      <c r="E11" s="500">
        <v>0</v>
      </c>
      <c r="F11" s="500">
        <v>0</v>
      </c>
      <c r="G11" s="500">
        <v>0</v>
      </c>
      <c r="H11" s="500">
        <v>18</v>
      </c>
      <c r="I11" s="774">
        <v>46</v>
      </c>
      <c r="J11" s="499">
        <f>SUM(D11:I11)</f>
        <v>954</v>
      </c>
      <c r="K11" s="506">
        <f>(SUM(D11:H11)*1.98)+(I11*2.06)</f>
        <v>1892.6</v>
      </c>
      <c r="M11" s="35"/>
      <c r="N11" s="35"/>
    </row>
    <row r="12" spans="2:14" ht="15" thickBot="1" x14ac:dyDescent="0.35">
      <c r="C12" s="36">
        <f>IF(C11+1&lt;=$C$8,C11+1,0)</f>
        <v>45140</v>
      </c>
      <c r="D12" s="500">
        <v>882</v>
      </c>
      <c r="E12" s="500">
        <v>0</v>
      </c>
      <c r="F12" s="500">
        <v>0</v>
      </c>
      <c r="G12" s="500">
        <v>0</v>
      </c>
      <c r="H12" s="500">
        <v>19</v>
      </c>
      <c r="I12" s="773">
        <v>46</v>
      </c>
      <c r="J12" s="499">
        <f t="shared" ref="J12:J41" si="0">SUM(D12:I12)</f>
        <v>947</v>
      </c>
      <c r="K12" s="506">
        <f t="shared" ref="K12:K41" si="1">(SUM(D12:H12)*1.98)+(I12*2.06)</f>
        <v>1878.74</v>
      </c>
    </row>
    <row r="13" spans="2:14" ht="15" thickBot="1" x14ac:dyDescent="0.35">
      <c r="C13" s="36">
        <f t="shared" ref="C13:C41" si="2">IF(C12+1&lt;=$C$8,C12+1,0)</f>
        <v>45141</v>
      </c>
      <c r="D13" s="500">
        <v>885</v>
      </c>
      <c r="E13" s="500">
        <v>0</v>
      </c>
      <c r="F13" s="500">
        <v>0</v>
      </c>
      <c r="G13" s="500">
        <v>0</v>
      </c>
      <c r="H13" s="500">
        <v>24</v>
      </c>
      <c r="I13" s="773">
        <v>35</v>
      </c>
      <c r="J13" s="499">
        <f t="shared" si="0"/>
        <v>944</v>
      </c>
      <c r="K13" s="506">
        <f t="shared" si="1"/>
        <v>1871.9199999999998</v>
      </c>
    </row>
    <row r="14" spans="2:14" ht="15" thickBot="1" x14ac:dyDescent="0.35">
      <c r="C14" s="36">
        <f t="shared" si="2"/>
        <v>45142</v>
      </c>
      <c r="D14" s="500">
        <v>891</v>
      </c>
      <c r="E14" s="500">
        <v>0</v>
      </c>
      <c r="F14" s="500">
        <v>0</v>
      </c>
      <c r="G14" s="500">
        <v>0</v>
      </c>
      <c r="H14" s="500">
        <v>17</v>
      </c>
      <c r="I14" s="773">
        <v>0</v>
      </c>
      <c r="J14" s="499">
        <f t="shared" si="0"/>
        <v>908</v>
      </c>
      <c r="K14" s="506">
        <f t="shared" si="1"/>
        <v>1797.84</v>
      </c>
      <c r="L14" s="3"/>
    </row>
    <row r="15" spans="2:14" ht="15" thickBot="1" x14ac:dyDescent="0.35">
      <c r="C15" s="36">
        <f t="shared" si="2"/>
        <v>45143</v>
      </c>
      <c r="D15" s="500">
        <v>567</v>
      </c>
      <c r="E15" s="500">
        <v>0</v>
      </c>
      <c r="F15" s="500">
        <v>0</v>
      </c>
      <c r="G15" s="500">
        <v>0</v>
      </c>
      <c r="H15" s="500">
        <v>14</v>
      </c>
      <c r="I15" s="773">
        <v>0</v>
      </c>
      <c r="J15" s="499">
        <f t="shared" si="0"/>
        <v>581</v>
      </c>
      <c r="K15" s="506">
        <f t="shared" si="1"/>
        <v>1150.3799999999999</v>
      </c>
    </row>
    <row r="16" spans="2:14" ht="15" thickBot="1" x14ac:dyDescent="0.35">
      <c r="C16" s="36">
        <f t="shared" si="2"/>
        <v>45144</v>
      </c>
      <c r="D16" s="500">
        <v>564</v>
      </c>
      <c r="E16" s="500">
        <v>0</v>
      </c>
      <c r="F16" s="500">
        <v>0</v>
      </c>
      <c r="G16" s="500">
        <v>0</v>
      </c>
      <c r="H16" s="500">
        <v>15</v>
      </c>
      <c r="I16" s="773">
        <v>0</v>
      </c>
      <c r="J16" s="499">
        <f t="shared" si="0"/>
        <v>579</v>
      </c>
      <c r="K16" s="506">
        <f t="shared" si="1"/>
        <v>1146.42</v>
      </c>
    </row>
    <row r="17" spans="3:12" ht="15" thickBot="1" x14ac:dyDescent="0.35">
      <c r="C17" s="36">
        <f t="shared" si="2"/>
        <v>45145</v>
      </c>
      <c r="D17" s="500">
        <v>898</v>
      </c>
      <c r="E17" s="500">
        <v>0</v>
      </c>
      <c r="F17" s="500">
        <v>0</v>
      </c>
      <c r="G17" s="500">
        <v>0</v>
      </c>
      <c r="H17" s="500">
        <v>17</v>
      </c>
      <c r="I17" s="773">
        <v>46</v>
      </c>
      <c r="J17" s="499">
        <f t="shared" si="0"/>
        <v>961</v>
      </c>
      <c r="K17" s="506">
        <f t="shared" si="1"/>
        <v>1906.46</v>
      </c>
    </row>
    <row r="18" spans="3:12" ht="15" thickBot="1" x14ac:dyDescent="0.35">
      <c r="C18" s="36">
        <f t="shared" si="2"/>
        <v>45146</v>
      </c>
      <c r="D18" s="500">
        <v>882</v>
      </c>
      <c r="E18" s="500">
        <v>0</v>
      </c>
      <c r="F18" s="500">
        <v>0</v>
      </c>
      <c r="G18" s="500">
        <v>0</v>
      </c>
      <c r="H18" s="500">
        <v>17</v>
      </c>
      <c r="I18" s="773">
        <v>56</v>
      </c>
      <c r="J18" s="499">
        <f t="shared" si="0"/>
        <v>955</v>
      </c>
      <c r="K18" s="506">
        <f t="shared" si="1"/>
        <v>1895.3799999999999</v>
      </c>
    </row>
    <row r="19" spans="3:12" ht="15" thickBot="1" x14ac:dyDescent="0.35">
      <c r="C19" s="36">
        <f t="shared" si="2"/>
        <v>45147</v>
      </c>
      <c r="D19" s="500">
        <v>893</v>
      </c>
      <c r="E19" s="500">
        <v>0</v>
      </c>
      <c r="F19" s="500">
        <v>0</v>
      </c>
      <c r="G19" s="500">
        <v>0</v>
      </c>
      <c r="H19" s="500">
        <v>21</v>
      </c>
      <c r="I19" s="773">
        <v>46</v>
      </c>
      <c r="J19" s="499">
        <f t="shared" si="0"/>
        <v>960</v>
      </c>
      <c r="K19" s="506">
        <f t="shared" si="1"/>
        <v>1904.48</v>
      </c>
    </row>
    <row r="20" spans="3:12" ht="15" thickBot="1" x14ac:dyDescent="0.35">
      <c r="C20" s="36">
        <f t="shared" si="2"/>
        <v>45148</v>
      </c>
      <c r="D20" s="500">
        <v>878</v>
      </c>
      <c r="E20" s="500">
        <v>0</v>
      </c>
      <c r="F20" s="500">
        <v>0</v>
      </c>
      <c r="G20" s="500">
        <v>0</v>
      </c>
      <c r="H20" s="500">
        <v>22</v>
      </c>
      <c r="I20" s="773">
        <v>46</v>
      </c>
      <c r="J20" s="499">
        <f t="shared" si="0"/>
        <v>946</v>
      </c>
      <c r="K20" s="506">
        <f t="shared" si="1"/>
        <v>1876.76</v>
      </c>
    </row>
    <row r="21" spans="3:12" ht="15" thickBot="1" x14ac:dyDescent="0.35">
      <c r="C21" s="36">
        <f t="shared" si="2"/>
        <v>45149</v>
      </c>
      <c r="D21" s="500">
        <v>886</v>
      </c>
      <c r="E21" s="500">
        <v>0</v>
      </c>
      <c r="F21" s="500">
        <v>0</v>
      </c>
      <c r="G21" s="500">
        <v>0</v>
      </c>
      <c r="H21" s="500">
        <v>21</v>
      </c>
      <c r="I21" s="773">
        <v>46</v>
      </c>
      <c r="J21" s="499">
        <f t="shared" si="0"/>
        <v>953</v>
      </c>
      <c r="K21" s="506">
        <f t="shared" si="1"/>
        <v>1890.62</v>
      </c>
    </row>
    <row r="22" spans="3:12" ht="15" thickBot="1" x14ac:dyDescent="0.35">
      <c r="C22" s="36">
        <f t="shared" si="2"/>
        <v>45150</v>
      </c>
      <c r="D22" s="500">
        <v>571</v>
      </c>
      <c r="E22" s="500">
        <v>0</v>
      </c>
      <c r="F22" s="500">
        <v>0</v>
      </c>
      <c r="G22" s="500">
        <v>0</v>
      </c>
      <c r="H22" s="500">
        <v>15</v>
      </c>
      <c r="I22" s="773">
        <v>0</v>
      </c>
      <c r="J22" s="499">
        <f t="shared" si="0"/>
        <v>586</v>
      </c>
      <c r="K22" s="506">
        <f t="shared" si="1"/>
        <v>1160.28</v>
      </c>
    </row>
    <row r="23" spans="3:12" ht="15" thickBot="1" x14ac:dyDescent="0.35">
      <c r="C23" s="36">
        <f t="shared" si="2"/>
        <v>45151</v>
      </c>
      <c r="D23" s="500">
        <v>574</v>
      </c>
      <c r="E23" s="500">
        <v>0</v>
      </c>
      <c r="F23" s="500">
        <v>0</v>
      </c>
      <c r="G23" s="500">
        <v>0</v>
      </c>
      <c r="H23" s="500">
        <v>15</v>
      </c>
      <c r="I23" s="773">
        <v>0</v>
      </c>
      <c r="J23" s="499">
        <f t="shared" si="0"/>
        <v>589</v>
      </c>
      <c r="K23" s="506">
        <f t="shared" si="1"/>
        <v>1166.22</v>
      </c>
    </row>
    <row r="24" spans="3:12" ht="15" thickBot="1" x14ac:dyDescent="0.35">
      <c r="C24" s="36">
        <f t="shared" si="2"/>
        <v>45152</v>
      </c>
      <c r="D24" s="500">
        <v>890</v>
      </c>
      <c r="E24" s="500">
        <v>0</v>
      </c>
      <c r="F24" s="500">
        <v>0</v>
      </c>
      <c r="G24" s="500">
        <v>0</v>
      </c>
      <c r="H24" s="500">
        <v>19</v>
      </c>
      <c r="I24" s="773">
        <v>44</v>
      </c>
      <c r="J24" s="499">
        <f t="shared" si="0"/>
        <v>953</v>
      </c>
      <c r="K24" s="506">
        <f t="shared" si="1"/>
        <v>1890.46</v>
      </c>
    </row>
    <row r="25" spans="3:12" ht="15" thickBot="1" x14ac:dyDescent="0.35">
      <c r="C25" s="36">
        <f t="shared" si="2"/>
        <v>45153</v>
      </c>
      <c r="D25" s="773">
        <v>894</v>
      </c>
      <c r="E25" s="773">
        <v>0</v>
      </c>
      <c r="F25" s="773">
        <v>0</v>
      </c>
      <c r="G25" s="773">
        <v>0</v>
      </c>
      <c r="H25" s="773">
        <v>18</v>
      </c>
      <c r="I25" s="773">
        <v>42</v>
      </c>
      <c r="J25" s="499">
        <f t="shared" si="0"/>
        <v>954</v>
      </c>
      <c r="K25" s="506">
        <f t="shared" si="1"/>
        <v>1892.28</v>
      </c>
    </row>
    <row r="26" spans="3:12" ht="15" thickBot="1" x14ac:dyDescent="0.35">
      <c r="C26" s="36">
        <f t="shared" si="2"/>
        <v>45154</v>
      </c>
      <c r="D26" s="773">
        <v>900</v>
      </c>
      <c r="E26" s="773">
        <v>0</v>
      </c>
      <c r="F26" s="773">
        <v>0</v>
      </c>
      <c r="G26" s="773">
        <v>0</v>
      </c>
      <c r="H26" s="773">
        <v>21</v>
      </c>
      <c r="I26" s="773">
        <v>42</v>
      </c>
      <c r="J26" s="499">
        <f t="shared" si="0"/>
        <v>963</v>
      </c>
      <c r="K26" s="506">
        <f t="shared" si="1"/>
        <v>1910.1</v>
      </c>
    </row>
    <row r="27" spans="3:12" ht="15" thickBot="1" x14ac:dyDescent="0.35">
      <c r="C27" s="36">
        <f t="shared" si="2"/>
        <v>45155</v>
      </c>
      <c r="D27" s="773">
        <v>878</v>
      </c>
      <c r="E27" s="773">
        <v>0</v>
      </c>
      <c r="F27" s="773">
        <v>0</v>
      </c>
      <c r="G27" s="773">
        <v>0</v>
      </c>
      <c r="H27" s="773">
        <v>20</v>
      </c>
      <c r="I27" s="773">
        <v>35</v>
      </c>
      <c r="J27" s="499">
        <f t="shared" si="0"/>
        <v>933</v>
      </c>
      <c r="K27" s="506">
        <f t="shared" si="1"/>
        <v>1850.1399999999999</v>
      </c>
    </row>
    <row r="28" spans="3:12" ht="15" thickBot="1" x14ac:dyDescent="0.35">
      <c r="C28" s="36">
        <f t="shared" si="2"/>
        <v>45156</v>
      </c>
      <c r="D28" s="773">
        <v>882</v>
      </c>
      <c r="E28" s="773">
        <v>0</v>
      </c>
      <c r="F28" s="773">
        <v>1</v>
      </c>
      <c r="G28" s="773">
        <v>0</v>
      </c>
      <c r="H28" s="773">
        <v>22</v>
      </c>
      <c r="I28" s="773">
        <v>35</v>
      </c>
      <c r="J28" s="499">
        <f t="shared" si="0"/>
        <v>940</v>
      </c>
      <c r="K28" s="506">
        <f t="shared" si="1"/>
        <v>1864</v>
      </c>
      <c r="L28" s="48"/>
    </row>
    <row r="29" spans="3:12" ht="15" thickBot="1" x14ac:dyDescent="0.35">
      <c r="C29" s="36">
        <f t="shared" si="2"/>
        <v>45157</v>
      </c>
      <c r="D29" s="773">
        <v>578</v>
      </c>
      <c r="E29" s="773">
        <v>0</v>
      </c>
      <c r="F29" s="773">
        <v>3</v>
      </c>
      <c r="G29" s="773">
        <v>0</v>
      </c>
      <c r="H29" s="773">
        <v>17</v>
      </c>
      <c r="I29" s="773">
        <v>0</v>
      </c>
      <c r="J29" s="499">
        <f t="shared" si="0"/>
        <v>598</v>
      </c>
      <c r="K29" s="506">
        <f t="shared" si="1"/>
        <v>1184.04</v>
      </c>
      <c r="L29" s="268"/>
    </row>
    <row r="30" spans="3:12" ht="15" thickBot="1" x14ac:dyDescent="0.35">
      <c r="C30" s="36">
        <f t="shared" si="2"/>
        <v>45158</v>
      </c>
      <c r="D30" s="773">
        <v>565</v>
      </c>
      <c r="E30" s="773">
        <v>0</v>
      </c>
      <c r="F30" s="773">
        <v>3</v>
      </c>
      <c r="G30" s="773">
        <v>0</v>
      </c>
      <c r="H30" s="773">
        <v>14</v>
      </c>
      <c r="I30" s="773">
        <v>0</v>
      </c>
      <c r="J30" s="499">
        <f t="shared" si="0"/>
        <v>582</v>
      </c>
      <c r="K30" s="506">
        <f t="shared" si="1"/>
        <v>1152.3599999999999</v>
      </c>
      <c r="L30" s="268"/>
    </row>
    <row r="31" spans="3:12" ht="15" thickBot="1" x14ac:dyDescent="0.35">
      <c r="C31" s="36">
        <f t="shared" si="2"/>
        <v>45159</v>
      </c>
      <c r="D31" s="773">
        <v>901</v>
      </c>
      <c r="E31" s="773">
        <v>0</v>
      </c>
      <c r="F31" s="773">
        <v>3</v>
      </c>
      <c r="G31" s="773">
        <v>0</v>
      </c>
      <c r="H31" s="773">
        <v>17</v>
      </c>
      <c r="I31" s="773">
        <v>35</v>
      </c>
      <c r="J31" s="499">
        <f t="shared" si="0"/>
        <v>956</v>
      </c>
      <c r="K31" s="506">
        <f t="shared" si="1"/>
        <v>1895.6799999999998</v>
      </c>
      <c r="L31" s="268"/>
    </row>
    <row r="32" spans="3:12" ht="15" thickBot="1" x14ac:dyDescent="0.35">
      <c r="C32" s="36">
        <f t="shared" si="2"/>
        <v>45160</v>
      </c>
      <c r="D32" s="773">
        <v>896</v>
      </c>
      <c r="E32" s="773">
        <v>0</v>
      </c>
      <c r="F32" s="773">
        <v>3</v>
      </c>
      <c r="G32" s="773">
        <v>0</v>
      </c>
      <c r="H32" s="773">
        <v>17</v>
      </c>
      <c r="I32" s="773">
        <v>42</v>
      </c>
      <c r="J32" s="499">
        <f t="shared" si="0"/>
        <v>958</v>
      </c>
      <c r="K32" s="506">
        <f t="shared" si="1"/>
        <v>1900.2</v>
      </c>
      <c r="L32" s="268"/>
    </row>
    <row r="33" spans="2:12" ht="15" thickBot="1" x14ac:dyDescent="0.35">
      <c r="C33" s="36">
        <f t="shared" si="2"/>
        <v>45161</v>
      </c>
      <c r="D33" s="773">
        <v>907</v>
      </c>
      <c r="E33" s="773">
        <v>0</v>
      </c>
      <c r="F33" s="773">
        <v>3</v>
      </c>
      <c r="G33" s="773">
        <v>0</v>
      </c>
      <c r="H33" s="773">
        <v>20</v>
      </c>
      <c r="I33" s="773">
        <v>44</v>
      </c>
      <c r="J33" s="499">
        <f t="shared" si="0"/>
        <v>974</v>
      </c>
      <c r="K33" s="506">
        <f t="shared" si="1"/>
        <v>1932.0400000000002</v>
      </c>
      <c r="L33" s="268"/>
    </row>
    <row r="34" spans="2:12" ht="15" thickBot="1" x14ac:dyDescent="0.35">
      <c r="C34" s="36">
        <f t="shared" si="2"/>
        <v>45162</v>
      </c>
      <c r="D34" s="773">
        <v>884</v>
      </c>
      <c r="E34" s="773">
        <v>0</v>
      </c>
      <c r="F34" s="773">
        <v>3</v>
      </c>
      <c r="G34" s="773">
        <v>0</v>
      </c>
      <c r="H34" s="773">
        <v>20</v>
      </c>
      <c r="I34" s="773">
        <v>46</v>
      </c>
      <c r="J34" s="499">
        <f t="shared" si="0"/>
        <v>953</v>
      </c>
      <c r="K34" s="506">
        <f t="shared" si="1"/>
        <v>1890.62</v>
      </c>
      <c r="L34" s="268"/>
    </row>
    <row r="35" spans="2:12" ht="15" thickBot="1" x14ac:dyDescent="0.35">
      <c r="C35" s="36">
        <f t="shared" si="2"/>
        <v>45163</v>
      </c>
      <c r="D35" s="773">
        <v>890</v>
      </c>
      <c r="E35" s="773">
        <v>0</v>
      </c>
      <c r="F35" s="773">
        <v>3</v>
      </c>
      <c r="G35" s="773">
        <v>0</v>
      </c>
      <c r="H35" s="773">
        <v>18</v>
      </c>
      <c r="I35" s="773">
        <v>16</v>
      </c>
      <c r="J35" s="499">
        <f t="shared" si="0"/>
        <v>927</v>
      </c>
      <c r="K35" s="506">
        <f t="shared" si="1"/>
        <v>1836.74</v>
      </c>
      <c r="L35" s="268"/>
    </row>
    <row r="36" spans="2:12" ht="15" thickBot="1" x14ac:dyDescent="0.35">
      <c r="C36" s="36">
        <f t="shared" si="2"/>
        <v>45164</v>
      </c>
      <c r="D36" s="773">
        <v>584</v>
      </c>
      <c r="E36" s="773">
        <v>0</v>
      </c>
      <c r="F36" s="773">
        <v>3</v>
      </c>
      <c r="G36" s="773">
        <v>0</v>
      </c>
      <c r="H36" s="773">
        <v>14</v>
      </c>
      <c r="I36" s="773">
        <v>0</v>
      </c>
      <c r="J36" s="499">
        <f t="shared" si="0"/>
        <v>601</v>
      </c>
      <c r="K36" s="506">
        <f t="shared" si="1"/>
        <v>1189.98</v>
      </c>
    </row>
    <row r="37" spans="2:12" ht="15" thickBot="1" x14ac:dyDescent="0.35">
      <c r="C37" s="36">
        <f t="shared" si="2"/>
        <v>45165</v>
      </c>
      <c r="D37" s="773">
        <v>575</v>
      </c>
      <c r="E37" s="773">
        <v>0</v>
      </c>
      <c r="F37" s="773">
        <v>3</v>
      </c>
      <c r="G37" s="773">
        <v>0</v>
      </c>
      <c r="H37" s="773">
        <v>15</v>
      </c>
      <c r="I37" s="773">
        <v>0</v>
      </c>
      <c r="J37" s="499">
        <f t="shared" si="0"/>
        <v>593</v>
      </c>
      <c r="K37" s="506">
        <f t="shared" si="1"/>
        <v>1174.1400000000001</v>
      </c>
    </row>
    <row r="38" spans="2:12" ht="15" thickBot="1" x14ac:dyDescent="0.35">
      <c r="C38" s="36">
        <f t="shared" si="2"/>
        <v>45166</v>
      </c>
      <c r="D38" s="773">
        <v>869</v>
      </c>
      <c r="E38" s="773">
        <v>0</v>
      </c>
      <c r="F38" s="773">
        <v>3</v>
      </c>
      <c r="G38" s="773">
        <v>0</v>
      </c>
      <c r="H38" s="773">
        <v>21</v>
      </c>
      <c r="I38" s="773">
        <v>28</v>
      </c>
      <c r="J38" s="499">
        <f t="shared" si="0"/>
        <v>921</v>
      </c>
      <c r="K38" s="506">
        <f t="shared" si="1"/>
        <v>1825.82</v>
      </c>
    </row>
    <row r="39" spans="2:12" ht="15" thickBot="1" x14ac:dyDescent="0.35">
      <c r="C39" s="36">
        <f t="shared" si="2"/>
        <v>45167</v>
      </c>
      <c r="D39" s="773">
        <v>889</v>
      </c>
      <c r="E39" s="773">
        <v>0</v>
      </c>
      <c r="F39" s="773">
        <v>3</v>
      </c>
      <c r="G39" s="773">
        <v>0</v>
      </c>
      <c r="H39" s="773">
        <v>17</v>
      </c>
      <c r="I39" s="773">
        <v>27</v>
      </c>
      <c r="J39" s="499">
        <f t="shared" si="0"/>
        <v>936</v>
      </c>
      <c r="K39" s="506">
        <f t="shared" si="1"/>
        <v>1855.44</v>
      </c>
    </row>
    <row r="40" spans="2:12" ht="15" thickBot="1" x14ac:dyDescent="0.35">
      <c r="C40" s="36">
        <f t="shared" si="2"/>
        <v>45168</v>
      </c>
      <c r="D40" s="773">
        <v>887</v>
      </c>
      <c r="E40" s="773">
        <v>0</v>
      </c>
      <c r="F40" s="773">
        <v>3</v>
      </c>
      <c r="G40" s="773">
        <v>0</v>
      </c>
      <c r="H40" s="773">
        <v>22</v>
      </c>
      <c r="I40" s="773">
        <v>27</v>
      </c>
      <c r="J40" s="499">
        <f t="shared" si="0"/>
        <v>939</v>
      </c>
      <c r="K40" s="506">
        <f t="shared" si="1"/>
        <v>1861.38</v>
      </c>
    </row>
    <row r="41" spans="2:12" x14ac:dyDescent="0.3">
      <c r="C41" s="36">
        <f t="shared" si="2"/>
        <v>45169</v>
      </c>
      <c r="D41" s="778">
        <v>851</v>
      </c>
      <c r="E41" s="778">
        <v>0</v>
      </c>
      <c r="F41" s="778">
        <v>3</v>
      </c>
      <c r="G41" s="778">
        <v>0</v>
      </c>
      <c r="H41" s="778">
        <v>16</v>
      </c>
      <c r="I41" s="778">
        <v>0</v>
      </c>
      <c r="J41" s="499">
        <f t="shared" si="0"/>
        <v>870</v>
      </c>
      <c r="K41" s="506">
        <f t="shared" si="1"/>
        <v>1722.6</v>
      </c>
    </row>
    <row r="42" spans="2:12" x14ac:dyDescent="0.3">
      <c r="C42" s="36"/>
      <c r="D42" s="192"/>
      <c r="E42" s="192"/>
      <c r="F42" s="192"/>
      <c r="G42" s="192"/>
      <c r="H42" s="192"/>
      <c r="I42" s="192"/>
      <c r="J42" s="192"/>
      <c r="K42" s="506">
        <f>(SUM(D42:H42)*1.722)+(I42*1.79)</f>
        <v>0</v>
      </c>
    </row>
    <row r="43" spans="2:12" x14ac:dyDescent="0.3">
      <c r="C43" s="191" t="s">
        <v>186</v>
      </c>
      <c r="D43" s="192"/>
      <c r="E43" s="192"/>
      <c r="F43" s="192"/>
      <c r="G43" s="192"/>
      <c r="H43" s="192"/>
      <c r="I43" s="214"/>
      <c r="J43" s="192"/>
      <c r="K43" s="38"/>
    </row>
    <row r="44" spans="2:12" x14ac:dyDescent="0.3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Bulk'!AU10+'Facility Requested Meals + Bulk'!AU66+'Facility Requested Meals + Bulk'!AU79+'Facility Requested Meals + Bulk'!AU28+'Facility Requested Meals + Bulk'!AU40</f>
        <v>6046.2000000000007</v>
      </c>
    </row>
    <row r="45" spans="2:12" x14ac:dyDescent="0.3">
      <c r="C45" s="36" t="s">
        <v>184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2" x14ac:dyDescent="0.3">
      <c r="C46" s="36" t="s">
        <v>581</v>
      </c>
      <c r="D46" s="192"/>
      <c r="E46" s="192"/>
      <c r="F46" s="192"/>
      <c r="G46" s="192"/>
      <c r="H46" s="192"/>
      <c r="I46" s="214"/>
      <c r="J46" s="192"/>
      <c r="K46" s="38">
        <v>0</v>
      </c>
    </row>
    <row r="47" spans="2:12" x14ac:dyDescent="0.3">
      <c r="B47" t="s">
        <v>169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38">
        <f>-'August - EE Credits FY23  '!O13</f>
        <v>-4454.7999999999993</v>
      </c>
    </row>
    <row r="48" spans="2:12" x14ac:dyDescent="0.3">
      <c r="B48" t="s">
        <v>169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-'August - EE Credits FY23  '!P13</f>
        <v>124.13669064748183</v>
      </c>
    </row>
    <row r="49" spans="2:12" x14ac:dyDescent="0.3">
      <c r="B49" t="s">
        <v>169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f>-'August - EE OT'!M13</f>
        <v>0</v>
      </c>
    </row>
    <row r="50" spans="2:12" x14ac:dyDescent="0.3">
      <c r="B50" t="s">
        <v>169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Aug FY23'!CK92</f>
        <v>0</v>
      </c>
    </row>
    <row r="51" spans="2:12" x14ac:dyDescent="0.3">
      <c r="C51" s="36" t="s">
        <v>638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673"/>
    </row>
    <row r="53" spans="2:12" x14ac:dyDescent="0.3">
      <c r="C53" s="225"/>
      <c r="D53" t="s">
        <v>206</v>
      </c>
      <c r="G53" s="226"/>
      <c r="H53" s="226"/>
      <c r="I53" s="226"/>
      <c r="J53" s="226"/>
      <c r="K53" s="224">
        <f>SUM(K44:K52)</f>
        <v>1715.5366906474833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3">
      <c r="D56" s="215"/>
      <c r="E56" s="215"/>
      <c r="F56" s="215"/>
      <c r="G56" s="215"/>
      <c r="H56" s="215"/>
      <c r="I56" s="215"/>
      <c r="J56" s="215"/>
    </row>
    <row r="57" spans="2:12" x14ac:dyDescent="0.3">
      <c r="C57" s="42" t="s">
        <v>13</v>
      </c>
      <c r="D57" s="212">
        <f>SUM(D11:D41)</f>
        <v>24981</v>
      </c>
      <c r="E57" s="212">
        <f t="shared" ref="E57:J57" si="3">SUM(E11:E41)</f>
        <v>0</v>
      </c>
      <c r="F57" s="212">
        <f t="shared" si="3"/>
        <v>40</v>
      </c>
      <c r="G57" s="212">
        <f t="shared" si="3"/>
        <v>0</v>
      </c>
      <c r="H57" s="212">
        <f t="shared" si="3"/>
        <v>563</v>
      </c>
      <c r="I57" s="212">
        <f t="shared" si="3"/>
        <v>830</v>
      </c>
      <c r="J57" s="212">
        <f t="shared" si="3"/>
        <v>26414</v>
      </c>
      <c r="K57" s="168">
        <f>(SUM(D57:H57)*1.98)+(I57*2.06)</f>
        <v>52366.12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54081.656690647484</v>
      </c>
      <c r="L59" s="41"/>
    </row>
    <row r="67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5:L68"/>
  <sheetViews>
    <sheetView showGridLines="0" topLeftCell="A33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2.109375" customWidth="1"/>
    <col min="4" max="9" width="18" customWidth="1"/>
    <col min="10" max="10" width="13.109375" bestFit="1" customWidth="1"/>
    <col min="11" max="11" width="15.109375" bestFit="1" customWidth="1"/>
    <col min="12" max="12" width="11.44140625" customWidth="1"/>
  </cols>
  <sheetData>
    <row r="5" spans="2:12" ht="25.8" x14ac:dyDescent="0.5">
      <c r="G5" s="880" t="s">
        <v>10</v>
      </c>
      <c r="H5" s="880"/>
      <c r="I5" s="880"/>
      <c r="J5" s="880"/>
      <c r="K5" s="37"/>
      <c r="L5" s="37"/>
    </row>
    <row r="6" spans="2:12" ht="18" x14ac:dyDescent="0.35">
      <c r="B6" s="43" t="s">
        <v>12</v>
      </c>
      <c r="C6" s="44">
        <f>'DOC Invoice'!J2</f>
        <v>11</v>
      </c>
      <c r="G6" s="879" t="s">
        <v>145</v>
      </c>
      <c r="H6" s="879"/>
      <c r="I6" s="879"/>
      <c r="J6" s="879"/>
      <c r="K6" s="181"/>
      <c r="L6" s="181"/>
    </row>
    <row r="7" spans="2:12" x14ac:dyDescent="0.3">
      <c r="B7" s="43" t="s">
        <v>14</v>
      </c>
      <c r="C7" s="45">
        <f>'DOC Invoice'!J3</f>
        <v>45139</v>
      </c>
      <c r="J7" s="883"/>
      <c r="K7" s="883"/>
    </row>
    <row r="8" spans="2:12" x14ac:dyDescent="0.3">
      <c r="B8" s="43" t="s">
        <v>15</v>
      </c>
      <c r="C8" s="45">
        <f>'DOC Invoice'!J4</f>
        <v>45169</v>
      </c>
      <c r="H8" s="187"/>
      <c r="I8" s="53" t="s">
        <v>146</v>
      </c>
      <c r="J8" s="42"/>
    </row>
    <row r="9" spans="2:12" ht="15" thickBot="1" x14ac:dyDescent="0.35"/>
    <row r="10" spans="2:12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</row>
    <row r="11" spans="2:12" x14ac:dyDescent="0.3">
      <c r="C11" s="36">
        <f>C7</f>
        <v>45139</v>
      </c>
      <c r="D11" s="500">
        <v>63</v>
      </c>
      <c r="E11" s="500">
        <v>0</v>
      </c>
      <c r="F11" s="500">
        <v>0</v>
      </c>
      <c r="G11" s="500">
        <v>0</v>
      </c>
      <c r="H11" s="500">
        <v>806</v>
      </c>
      <c r="I11" s="774">
        <v>0</v>
      </c>
      <c r="J11" s="500">
        <f t="shared" ref="J11:J41" si="0">SUM(D11:I11)</f>
        <v>869</v>
      </c>
      <c r="K11" s="506">
        <f>(SUM(D11:H11)*1.98)+(I11*2.06)</f>
        <v>1720.62</v>
      </c>
    </row>
    <row r="12" spans="2:12" x14ac:dyDescent="0.3">
      <c r="C12" s="36">
        <f>IF(C11+1&lt;=$C$8,C11+1,0)</f>
        <v>45140</v>
      </c>
      <c r="D12" s="500">
        <v>33</v>
      </c>
      <c r="E12" s="500">
        <v>0</v>
      </c>
      <c r="F12" s="500">
        <v>0</v>
      </c>
      <c r="G12" s="500">
        <v>0</v>
      </c>
      <c r="H12" s="500">
        <v>763</v>
      </c>
      <c r="I12" s="773">
        <v>0</v>
      </c>
      <c r="J12" s="500">
        <f t="shared" si="0"/>
        <v>796</v>
      </c>
      <c r="K12" s="506">
        <f t="shared" ref="K12:K41" si="1">(SUM(D12:H12)*1.98)+(I12*2.06)</f>
        <v>1576.08</v>
      </c>
    </row>
    <row r="13" spans="2:12" x14ac:dyDescent="0.3">
      <c r="C13" s="36">
        <f t="shared" ref="C13:C41" si="2">IF(C12+1&lt;=$C$8,C12+1,0)</f>
        <v>45141</v>
      </c>
      <c r="D13" s="500">
        <v>57</v>
      </c>
      <c r="E13" s="500">
        <v>0</v>
      </c>
      <c r="F13" s="500">
        <v>0</v>
      </c>
      <c r="G13" s="500">
        <v>0</v>
      </c>
      <c r="H13" s="500">
        <v>684</v>
      </c>
      <c r="I13" s="773">
        <v>0</v>
      </c>
      <c r="J13" s="500">
        <f t="shared" si="0"/>
        <v>741</v>
      </c>
      <c r="K13" s="506">
        <f t="shared" si="1"/>
        <v>1467.18</v>
      </c>
    </row>
    <row r="14" spans="2:12" x14ac:dyDescent="0.3">
      <c r="C14" s="36">
        <f t="shared" si="2"/>
        <v>45142</v>
      </c>
      <c r="D14" s="500">
        <v>36</v>
      </c>
      <c r="E14" s="500">
        <v>0</v>
      </c>
      <c r="F14" s="500">
        <v>0</v>
      </c>
      <c r="G14" s="500">
        <v>0</v>
      </c>
      <c r="H14" s="500">
        <v>250</v>
      </c>
      <c r="I14" s="773">
        <v>0</v>
      </c>
      <c r="J14" s="500">
        <f t="shared" si="0"/>
        <v>286</v>
      </c>
      <c r="K14" s="506">
        <f t="shared" si="1"/>
        <v>566.28</v>
      </c>
      <c r="L14" s="3"/>
    </row>
    <row r="15" spans="2:12" x14ac:dyDescent="0.3">
      <c r="C15" s="36">
        <f t="shared" si="2"/>
        <v>45143</v>
      </c>
      <c r="D15" s="500">
        <v>0</v>
      </c>
      <c r="E15" s="500">
        <v>0</v>
      </c>
      <c r="F15" s="500">
        <v>0</v>
      </c>
      <c r="G15" s="500">
        <v>0</v>
      </c>
      <c r="H15" s="500">
        <v>0</v>
      </c>
      <c r="I15" s="773">
        <v>0</v>
      </c>
      <c r="J15" s="500">
        <f t="shared" si="0"/>
        <v>0</v>
      </c>
      <c r="K15" s="506">
        <f t="shared" si="1"/>
        <v>0</v>
      </c>
    </row>
    <row r="16" spans="2:12" x14ac:dyDescent="0.3">
      <c r="C16" s="36">
        <f t="shared" si="2"/>
        <v>45144</v>
      </c>
      <c r="D16" s="500">
        <v>0</v>
      </c>
      <c r="E16" s="500">
        <v>0</v>
      </c>
      <c r="F16" s="500">
        <v>0</v>
      </c>
      <c r="G16" s="500">
        <v>0</v>
      </c>
      <c r="H16" s="500">
        <v>0</v>
      </c>
      <c r="I16" s="773">
        <v>0</v>
      </c>
      <c r="J16" s="500">
        <f t="shared" si="0"/>
        <v>0</v>
      </c>
      <c r="K16" s="506">
        <f t="shared" si="1"/>
        <v>0</v>
      </c>
    </row>
    <row r="17" spans="3:11" x14ac:dyDescent="0.3">
      <c r="C17" s="36">
        <f t="shared" si="2"/>
        <v>45145</v>
      </c>
      <c r="D17" s="500">
        <v>28</v>
      </c>
      <c r="E17" s="500">
        <v>0</v>
      </c>
      <c r="F17" s="500">
        <v>0</v>
      </c>
      <c r="G17" s="500">
        <v>0</v>
      </c>
      <c r="H17" s="500">
        <v>382</v>
      </c>
      <c r="I17" s="773">
        <v>0</v>
      </c>
      <c r="J17" s="214">
        <f t="shared" si="0"/>
        <v>410</v>
      </c>
      <c r="K17" s="506">
        <f t="shared" si="1"/>
        <v>811.8</v>
      </c>
    </row>
    <row r="18" spans="3:11" x14ac:dyDescent="0.3">
      <c r="C18" s="36">
        <f t="shared" si="2"/>
        <v>45146</v>
      </c>
      <c r="D18" s="500">
        <v>42</v>
      </c>
      <c r="E18" s="500">
        <v>0</v>
      </c>
      <c r="F18" s="500">
        <v>0</v>
      </c>
      <c r="G18" s="500">
        <v>0</v>
      </c>
      <c r="H18" s="500">
        <v>419</v>
      </c>
      <c r="I18" s="773">
        <v>0</v>
      </c>
      <c r="J18" s="214">
        <f t="shared" si="0"/>
        <v>461</v>
      </c>
      <c r="K18" s="506">
        <f t="shared" si="1"/>
        <v>912.78</v>
      </c>
    </row>
    <row r="19" spans="3:11" x14ac:dyDescent="0.3">
      <c r="C19" s="36">
        <f t="shared" si="2"/>
        <v>45147</v>
      </c>
      <c r="D19" s="500">
        <v>42</v>
      </c>
      <c r="E19" s="500">
        <v>0</v>
      </c>
      <c r="F19" s="500">
        <v>0</v>
      </c>
      <c r="G19" s="500">
        <v>0</v>
      </c>
      <c r="H19" s="500">
        <v>752</v>
      </c>
      <c r="I19" s="773">
        <v>0</v>
      </c>
      <c r="J19" s="214">
        <f t="shared" si="0"/>
        <v>794</v>
      </c>
      <c r="K19" s="506">
        <f t="shared" si="1"/>
        <v>1572.12</v>
      </c>
    </row>
    <row r="20" spans="3:11" x14ac:dyDescent="0.3">
      <c r="C20" s="36">
        <f t="shared" si="2"/>
        <v>45148</v>
      </c>
      <c r="D20" s="500">
        <v>0</v>
      </c>
      <c r="E20" s="500">
        <v>0</v>
      </c>
      <c r="F20" s="500">
        <v>0</v>
      </c>
      <c r="G20" s="500">
        <v>0</v>
      </c>
      <c r="H20" s="500">
        <v>415</v>
      </c>
      <c r="I20" s="773">
        <v>0</v>
      </c>
      <c r="J20" s="214">
        <f t="shared" si="0"/>
        <v>415</v>
      </c>
      <c r="K20" s="506">
        <f t="shared" si="1"/>
        <v>821.7</v>
      </c>
    </row>
    <row r="21" spans="3:11" x14ac:dyDescent="0.3">
      <c r="C21" s="36">
        <f t="shared" si="2"/>
        <v>45149</v>
      </c>
      <c r="D21" s="500">
        <v>30</v>
      </c>
      <c r="E21" s="500">
        <v>0</v>
      </c>
      <c r="F21" s="500">
        <v>0</v>
      </c>
      <c r="G21" s="500">
        <v>0</v>
      </c>
      <c r="H21" s="500">
        <v>233</v>
      </c>
      <c r="I21" s="773">
        <v>0</v>
      </c>
      <c r="J21" s="214">
        <f t="shared" si="0"/>
        <v>263</v>
      </c>
      <c r="K21" s="506">
        <f t="shared" si="1"/>
        <v>520.74</v>
      </c>
    </row>
    <row r="22" spans="3:11" x14ac:dyDescent="0.3">
      <c r="C22" s="36">
        <f t="shared" si="2"/>
        <v>45150</v>
      </c>
      <c r="D22" s="500">
        <v>0</v>
      </c>
      <c r="E22" s="500">
        <v>0</v>
      </c>
      <c r="F22" s="500">
        <v>0</v>
      </c>
      <c r="G22" s="500">
        <v>0</v>
      </c>
      <c r="H22" s="500">
        <v>0</v>
      </c>
      <c r="I22" s="773">
        <v>0</v>
      </c>
      <c r="J22" s="214">
        <f>SUM(D22:I22)</f>
        <v>0</v>
      </c>
      <c r="K22" s="506">
        <f t="shared" si="1"/>
        <v>0</v>
      </c>
    </row>
    <row r="23" spans="3:11" x14ac:dyDescent="0.3">
      <c r="C23" s="36">
        <f t="shared" si="2"/>
        <v>45151</v>
      </c>
      <c r="D23" s="500">
        <v>0</v>
      </c>
      <c r="E23" s="500">
        <v>0</v>
      </c>
      <c r="F23" s="500">
        <v>0</v>
      </c>
      <c r="G23" s="500">
        <v>0</v>
      </c>
      <c r="H23" s="500">
        <v>0</v>
      </c>
      <c r="I23" s="773">
        <v>160</v>
      </c>
      <c r="J23" s="214">
        <f t="shared" si="0"/>
        <v>160</v>
      </c>
      <c r="K23" s="506">
        <f t="shared" si="1"/>
        <v>329.6</v>
      </c>
    </row>
    <row r="24" spans="3:11" x14ac:dyDescent="0.3">
      <c r="C24" s="36">
        <f t="shared" si="2"/>
        <v>45152</v>
      </c>
      <c r="D24" s="500">
        <v>33</v>
      </c>
      <c r="E24" s="500">
        <v>0</v>
      </c>
      <c r="F24" s="500">
        <v>0</v>
      </c>
      <c r="G24" s="500">
        <v>0</v>
      </c>
      <c r="H24" s="500">
        <v>1172</v>
      </c>
      <c r="I24" s="773">
        <v>0</v>
      </c>
      <c r="J24" s="214">
        <f t="shared" si="0"/>
        <v>1205</v>
      </c>
      <c r="K24" s="506">
        <f t="shared" si="1"/>
        <v>2385.9</v>
      </c>
    </row>
    <row r="25" spans="3:11" x14ac:dyDescent="0.3">
      <c r="C25" s="36">
        <f t="shared" si="2"/>
        <v>45153</v>
      </c>
      <c r="D25" s="773">
        <v>45</v>
      </c>
      <c r="E25" s="773">
        <v>0</v>
      </c>
      <c r="F25" s="773">
        <v>0</v>
      </c>
      <c r="G25" s="773">
        <v>0</v>
      </c>
      <c r="H25" s="773">
        <v>999</v>
      </c>
      <c r="I25" s="773">
        <v>0</v>
      </c>
      <c r="J25" s="214">
        <f t="shared" si="0"/>
        <v>1044</v>
      </c>
      <c r="K25" s="506">
        <f t="shared" si="1"/>
        <v>2067.12</v>
      </c>
    </row>
    <row r="26" spans="3:11" x14ac:dyDescent="0.3">
      <c r="C26" s="36">
        <f t="shared" si="2"/>
        <v>45154</v>
      </c>
      <c r="D26" s="773">
        <v>42</v>
      </c>
      <c r="E26" s="773">
        <v>0</v>
      </c>
      <c r="F26" s="773">
        <v>0</v>
      </c>
      <c r="G26" s="773">
        <v>0</v>
      </c>
      <c r="H26" s="773">
        <v>600</v>
      </c>
      <c r="I26" s="773">
        <v>0</v>
      </c>
      <c r="J26" s="214">
        <f t="shared" si="0"/>
        <v>642</v>
      </c>
      <c r="K26" s="506">
        <f t="shared" si="1"/>
        <v>1271.1600000000001</v>
      </c>
    </row>
    <row r="27" spans="3:11" x14ac:dyDescent="0.3">
      <c r="C27" s="36">
        <f t="shared" si="2"/>
        <v>45155</v>
      </c>
      <c r="D27" s="773">
        <v>48</v>
      </c>
      <c r="E27" s="773">
        <v>0</v>
      </c>
      <c r="F27" s="773">
        <v>0</v>
      </c>
      <c r="G27" s="773">
        <v>0</v>
      </c>
      <c r="H27" s="773">
        <v>830</v>
      </c>
      <c r="I27" s="773">
        <v>0</v>
      </c>
      <c r="J27" s="214">
        <f t="shared" si="0"/>
        <v>878</v>
      </c>
      <c r="K27" s="506">
        <f t="shared" si="1"/>
        <v>1738.44</v>
      </c>
    </row>
    <row r="28" spans="3:11" x14ac:dyDescent="0.3">
      <c r="C28" s="36">
        <f t="shared" si="2"/>
        <v>45156</v>
      </c>
      <c r="D28" s="773">
        <v>27</v>
      </c>
      <c r="E28" s="773">
        <v>0</v>
      </c>
      <c r="F28" s="773">
        <v>0</v>
      </c>
      <c r="G28" s="773">
        <v>0</v>
      </c>
      <c r="H28" s="773">
        <v>267</v>
      </c>
      <c r="I28" s="773">
        <v>0</v>
      </c>
      <c r="J28" s="214">
        <f t="shared" si="0"/>
        <v>294</v>
      </c>
      <c r="K28" s="506">
        <f t="shared" si="1"/>
        <v>582.12</v>
      </c>
    </row>
    <row r="29" spans="3:11" x14ac:dyDescent="0.3">
      <c r="C29" s="36">
        <f t="shared" si="2"/>
        <v>45157</v>
      </c>
      <c r="D29" s="773">
        <v>0</v>
      </c>
      <c r="E29" s="773">
        <v>0</v>
      </c>
      <c r="F29" s="773">
        <v>0</v>
      </c>
      <c r="G29" s="773">
        <v>0</v>
      </c>
      <c r="H29" s="773">
        <v>0</v>
      </c>
      <c r="I29" s="773">
        <v>0</v>
      </c>
      <c r="J29" s="214">
        <f t="shared" si="0"/>
        <v>0</v>
      </c>
      <c r="K29" s="506">
        <f t="shared" si="1"/>
        <v>0</v>
      </c>
    </row>
    <row r="30" spans="3:11" x14ac:dyDescent="0.3">
      <c r="C30" s="36">
        <f t="shared" si="2"/>
        <v>45158</v>
      </c>
      <c r="D30" s="773">
        <v>0</v>
      </c>
      <c r="E30" s="773">
        <v>0</v>
      </c>
      <c r="F30" s="773">
        <v>0</v>
      </c>
      <c r="G30" s="773">
        <v>0</v>
      </c>
      <c r="H30" s="773">
        <v>0</v>
      </c>
      <c r="I30" s="773">
        <v>50</v>
      </c>
      <c r="J30" s="214">
        <f t="shared" si="0"/>
        <v>50</v>
      </c>
      <c r="K30" s="506">
        <f t="shared" si="1"/>
        <v>103</v>
      </c>
    </row>
    <row r="31" spans="3:11" x14ac:dyDescent="0.3">
      <c r="C31" s="36">
        <f t="shared" si="2"/>
        <v>45159</v>
      </c>
      <c r="D31" s="773">
        <v>45</v>
      </c>
      <c r="E31" s="773">
        <v>0</v>
      </c>
      <c r="F31" s="773">
        <v>0</v>
      </c>
      <c r="G31" s="773">
        <v>0</v>
      </c>
      <c r="H31" s="773">
        <v>1020</v>
      </c>
      <c r="I31" s="773">
        <v>0</v>
      </c>
      <c r="J31" s="214">
        <f t="shared" si="0"/>
        <v>1065</v>
      </c>
      <c r="K31" s="506">
        <f t="shared" si="1"/>
        <v>2108.6999999999998</v>
      </c>
    </row>
    <row r="32" spans="3:11" x14ac:dyDescent="0.3">
      <c r="C32" s="36">
        <f t="shared" si="2"/>
        <v>45160</v>
      </c>
      <c r="D32" s="773">
        <v>51</v>
      </c>
      <c r="E32" s="773">
        <v>0</v>
      </c>
      <c r="F32" s="773">
        <v>0</v>
      </c>
      <c r="G32" s="773">
        <v>0</v>
      </c>
      <c r="H32" s="773">
        <v>852</v>
      </c>
      <c r="I32" s="773">
        <v>0</v>
      </c>
      <c r="J32" s="214">
        <f t="shared" si="0"/>
        <v>903</v>
      </c>
      <c r="K32" s="506">
        <f t="shared" si="1"/>
        <v>1787.94</v>
      </c>
    </row>
    <row r="33" spans="2:12" x14ac:dyDescent="0.3">
      <c r="C33" s="36">
        <f t="shared" si="2"/>
        <v>45161</v>
      </c>
      <c r="D33" s="773">
        <v>56</v>
      </c>
      <c r="E33" s="773">
        <v>0</v>
      </c>
      <c r="F33" s="773">
        <v>0</v>
      </c>
      <c r="G33" s="773">
        <v>0</v>
      </c>
      <c r="H33" s="773">
        <v>739</v>
      </c>
      <c r="I33" s="773">
        <v>0</v>
      </c>
      <c r="J33" s="214">
        <f t="shared" si="0"/>
        <v>795</v>
      </c>
      <c r="K33" s="506">
        <f t="shared" si="1"/>
        <v>1574.1</v>
      </c>
    </row>
    <row r="34" spans="2:12" x14ac:dyDescent="0.3">
      <c r="C34" s="36">
        <f t="shared" si="2"/>
        <v>45162</v>
      </c>
      <c r="D34" s="773">
        <v>50</v>
      </c>
      <c r="E34" s="773">
        <v>0</v>
      </c>
      <c r="F34" s="773">
        <v>0</v>
      </c>
      <c r="G34" s="773">
        <v>0</v>
      </c>
      <c r="H34" s="773">
        <v>835</v>
      </c>
      <c r="I34" s="773">
        <v>0</v>
      </c>
      <c r="J34" s="214">
        <f t="shared" si="0"/>
        <v>885</v>
      </c>
      <c r="K34" s="506">
        <f t="shared" si="1"/>
        <v>1752.3</v>
      </c>
    </row>
    <row r="35" spans="2:12" x14ac:dyDescent="0.3">
      <c r="C35" s="36">
        <f t="shared" si="2"/>
        <v>45163</v>
      </c>
      <c r="D35" s="773">
        <v>17</v>
      </c>
      <c r="E35" s="773">
        <v>0</v>
      </c>
      <c r="F35" s="773">
        <v>0</v>
      </c>
      <c r="G35" s="773">
        <v>0</v>
      </c>
      <c r="H35" s="773">
        <v>235</v>
      </c>
      <c r="I35" s="773">
        <v>0</v>
      </c>
      <c r="J35" s="214">
        <f t="shared" si="0"/>
        <v>252</v>
      </c>
      <c r="K35" s="506">
        <f t="shared" si="1"/>
        <v>498.96</v>
      </c>
    </row>
    <row r="36" spans="2:12" x14ac:dyDescent="0.3">
      <c r="C36" s="36">
        <f t="shared" si="2"/>
        <v>45164</v>
      </c>
      <c r="D36" s="773">
        <v>0</v>
      </c>
      <c r="E36" s="773">
        <v>0</v>
      </c>
      <c r="F36" s="773">
        <v>0</v>
      </c>
      <c r="G36" s="773">
        <v>0</v>
      </c>
      <c r="H36" s="773">
        <v>0</v>
      </c>
      <c r="I36" s="773">
        <v>0</v>
      </c>
      <c r="J36" s="214">
        <f t="shared" si="0"/>
        <v>0</v>
      </c>
      <c r="K36" s="506">
        <f t="shared" si="1"/>
        <v>0</v>
      </c>
    </row>
    <row r="37" spans="2:12" x14ac:dyDescent="0.3">
      <c r="C37" s="36">
        <f t="shared" si="2"/>
        <v>45165</v>
      </c>
      <c r="D37" s="773">
        <v>0</v>
      </c>
      <c r="E37" s="773">
        <v>0</v>
      </c>
      <c r="F37" s="773">
        <v>0</v>
      </c>
      <c r="G37" s="773">
        <v>0</v>
      </c>
      <c r="H37" s="773">
        <v>0</v>
      </c>
      <c r="I37" s="773">
        <v>40</v>
      </c>
      <c r="J37" s="214">
        <f t="shared" si="0"/>
        <v>40</v>
      </c>
      <c r="K37" s="506">
        <f t="shared" si="1"/>
        <v>82.4</v>
      </c>
    </row>
    <row r="38" spans="2:12" x14ac:dyDescent="0.3">
      <c r="C38" s="36">
        <f t="shared" si="2"/>
        <v>45166</v>
      </c>
      <c r="D38" s="773">
        <v>30</v>
      </c>
      <c r="E38" s="773">
        <v>0</v>
      </c>
      <c r="F38" s="773">
        <v>0</v>
      </c>
      <c r="G38" s="773">
        <v>0</v>
      </c>
      <c r="H38" s="773">
        <v>719</v>
      </c>
      <c r="I38" s="773">
        <v>0</v>
      </c>
      <c r="J38" s="500">
        <f t="shared" si="0"/>
        <v>749</v>
      </c>
      <c r="K38" s="506">
        <f t="shared" si="1"/>
        <v>1483.02</v>
      </c>
    </row>
    <row r="39" spans="2:12" x14ac:dyDescent="0.3">
      <c r="C39" s="36">
        <f t="shared" si="2"/>
        <v>45167</v>
      </c>
      <c r="D39" s="773">
        <v>51</v>
      </c>
      <c r="E39" s="773">
        <v>0</v>
      </c>
      <c r="F39" s="773">
        <v>0</v>
      </c>
      <c r="G39" s="773">
        <v>0</v>
      </c>
      <c r="H39" s="773">
        <v>1099</v>
      </c>
      <c r="I39" s="773">
        <v>0</v>
      </c>
      <c r="J39" s="500">
        <f t="shared" si="0"/>
        <v>1150</v>
      </c>
      <c r="K39" s="506">
        <f t="shared" si="1"/>
        <v>2277</v>
      </c>
    </row>
    <row r="40" spans="2:12" x14ac:dyDescent="0.3">
      <c r="C40" s="36">
        <f t="shared" si="2"/>
        <v>45168</v>
      </c>
      <c r="D40" s="773">
        <v>48</v>
      </c>
      <c r="E40" s="773">
        <v>0</v>
      </c>
      <c r="F40" s="773">
        <v>0</v>
      </c>
      <c r="G40" s="773">
        <v>0</v>
      </c>
      <c r="H40" s="773">
        <v>1146</v>
      </c>
      <c r="I40" s="773">
        <v>0</v>
      </c>
      <c r="J40" s="500">
        <f t="shared" si="0"/>
        <v>1194</v>
      </c>
      <c r="K40" s="506">
        <f t="shared" si="1"/>
        <v>2364.12</v>
      </c>
    </row>
    <row r="41" spans="2:12" x14ac:dyDescent="0.3">
      <c r="C41" s="36">
        <f t="shared" si="2"/>
        <v>45169</v>
      </c>
      <c r="D41" s="778">
        <v>52</v>
      </c>
      <c r="E41" s="778">
        <v>0</v>
      </c>
      <c r="F41" s="778">
        <v>0</v>
      </c>
      <c r="G41" s="778">
        <v>0</v>
      </c>
      <c r="H41" s="778">
        <v>881</v>
      </c>
      <c r="I41" s="778">
        <v>0</v>
      </c>
      <c r="J41" s="500">
        <f t="shared" si="0"/>
        <v>933</v>
      </c>
      <c r="K41" s="506">
        <f t="shared" si="1"/>
        <v>1847.34</v>
      </c>
    </row>
    <row r="42" spans="2:12" x14ac:dyDescent="0.3">
      <c r="C42" s="36"/>
      <c r="D42" s="192"/>
      <c r="E42" s="192"/>
      <c r="F42" s="192"/>
      <c r="G42" s="192"/>
      <c r="H42" s="192"/>
      <c r="I42" s="192"/>
      <c r="J42" s="214"/>
      <c r="K42" s="506">
        <f t="shared" ref="K42" si="3">(SUM(D42:H42)*2.209)+(I42*2.345)</f>
        <v>0</v>
      </c>
    </row>
    <row r="43" spans="2:12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2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Bulk'!E9+'Facility Requested Meals + Bulk'!E28+'Facility Requested Meals + Bulk'!E65+'Facility Requested Meals + Bulk'!E86+'Facility Requested Meals + Bulk'!E99+'Facility Requested Meals + Bulk'!E118+'Facility Requested Meals + Bulk'!E130+'Facility Requested Meals + Bulk'!E154+'Facility Requested Meals + Bulk'!E178</f>
        <v>2452.5</v>
      </c>
      <c r="L44" s="233"/>
    </row>
    <row r="45" spans="2:12" x14ac:dyDescent="0.3">
      <c r="C45" s="36" t="s">
        <v>556</v>
      </c>
      <c r="D45" s="192"/>
      <c r="E45" s="192"/>
      <c r="F45" s="192"/>
      <c r="G45" s="192"/>
      <c r="H45" s="192"/>
      <c r="I45" s="192"/>
      <c r="J45" s="192"/>
      <c r="K45" s="168">
        <v>0</v>
      </c>
    </row>
    <row r="46" spans="2:12" x14ac:dyDescent="0.3">
      <c r="C46" s="36" t="s">
        <v>184</v>
      </c>
      <c r="D46" s="192"/>
      <c r="E46" s="192"/>
      <c r="F46" s="192"/>
      <c r="G46" s="192"/>
      <c r="H46" s="192"/>
      <c r="I46" s="192"/>
      <c r="J46" s="192"/>
      <c r="K46" s="38">
        <v>0</v>
      </c>
    </row>
    <row r="47" spans="2:12" x14ac:dyDescent="0.3">
      <c r="B47" t="s">
        <v>222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38">
        <f>-'August - EE Credits FY23  '!O11</f>
        <v>0</v>
      </c>
    </row>
    <row r="48" spans="2:12" x14ac:dyDescent="0.3">
      <c r="B48" t="s">
        <v>222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-'August - EE Credits FY23  '!P11</f>
        <v>0</v>
      </c>
    </row>
    <row r="49" spans="2:12" x14ac:dyDescent="0.3">
      <c r="B49" t="s">
        <v>222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3">
      <c r="B50" t="s">
        <v>222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Aug FY23'!AI89</f>
        <v>0</v>
      </c>
    </row>
    <row r="51" spans="2:12" x14ac:dyDescent="0.3">
      <c r="C51" s="36" t="s">
        <v>680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2452.5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3">
      <c r="D56" s="215"/>
      <c r="E56" s="215"/>
      <c r="F56" s="215"/>
      <c r="G56" s="215"/>
      <c r="H56" s="215"/>
      <c r="I56" s="215"/>
      <c r="J56" s="215"/>
    </row>
    <row r="57" spans="2:12" x14ac:dyDescent="0.3">
      <c r="C57" s="42" t="s">
        <v>13</v>
      </c>
      <c r="D57" s="212">
        <f>SUM(D11:D41)</f>
        <v>926</v>
      </c>
      <c r="E57" s="212">
        <f t="shared" ref="E57:J57" si="4">SUM(E11:E41)</f>
        <v>0</v>
      </c>
      <c r="F57" s="212">
        <f t="shared" si="4"/>
        <v>0</v>
      </c>
      <c r="G57" s="212">
        <f t="shared" si="4"/>
        <v>0</v>
      </c>
      <c r="H57" s="212">
        <f t="shared" si="4"/>
        <v>16098</v>
      </c>
      <c r="I57" s="212">
        <f t="shared" si="4"/>
        <v>250</v>
      </c>
      <c r="J57" s="212">
        <f t="shared" si="4"/>
        <v>17274</v>
      </c>
      <c r="K57" s="168">
        <f>(SUM(D57:H57)*1.98)+(I57*2.06)</f>
        <v>34222.519999999997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36675.019999999997</v>
      </c>
      <c r="L59" s="41"/>
    </row>
    <row r="64" spans="2:12" ht="18" customHeight="1" x14ac:dyDescent="0.3"/>
    <row r="68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customProperties>
    <customPr name="SheetOptions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5:M68"/>
  <sheetViews>
    <sheetView showGridLines="0" topLeftCell="A34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3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3" ht="25.8" x14ac:dyDescent="0.5">
      <c r="G5" s="880" t="s">
        <v>10</v>
      </c>
      <c r="H5" s="880"/>
      <c r="I5" s="880"/>
      <c r="J5" s="880"/>
      <c r="K5" s="37"/>
      <c r="L5" s="37"/>
      <c r="M5" s="37"/>
    </row>
    <row r="6" spans="2:13" ht="18" x14ac:dyDescent="0.35">
      <c r="B6" s="43" t="s">
        <v>12</v>
      </c>
      <c r="C6" s="44">
        <f>'DOC Invoice'!J2</f>
        <v>11</v>
      </c>
      <c r="G6" s="879" t="s">
        <v>149</v>
      </c>
      <c r="H6" s="879"/>
      <c r="I6" s="879"/>
      <c r="J6" s="879"/>
      <c r="K6" s="181"/>
      <c r="L6" s="181"/>
    </row>
    <row r="7" spans="2:13" x14ac:dyDescent="0.3">
      <c r="B7" s="43" t="s">
        <v>14</v>
      </c>
      <c r="C7" s="45">
        <f>'DOC Invoice'!J3</f>
        <v>45139</v>
      </c>
      <c r="J7" s="883"/>
      <c r="K7" s="883"/>
    </row>
    <row r="8" spans="2:13" x14ac:dyDescent="0.3">
      <c r="B8" s="43" t="s">
        <v>15</v>
      </c>
      <c r="C8" s="45">
        <f>'DOC Invoice'!J4</f>
        <v>45169</v>
      </c>
      <c r="H8" s="187"/>
      <c r="I8" s="53" t="s">
        <v>150</v>
      </c>
      <c r="J8" s="42"/>
    </row>
    <row r="9" spans="2:13" ht="15" thickBot="1" x14ac:dyDescent="0.35"/>
    <row r="10" spans="2:13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</row>
    <row r="11" spans="2:13" x14ac:dyDescent="0.3">
      <c r="C11" s="36">
        <f>C7</f>
        <v>45139</v>
      </c>
      <c r="D11" s="500">
        <v>5114</v>
      </c>
      <c r="E11" s="500">
        <v>18</v>
      </c>
      <c r="F11" s="500">
        <v>168</v>
      </c>
      <c r="G11" s="500">
        <v>0</v>
      </c>
      <c r="H11" s="500">
        <v>129</v>
      </c>
      <c r="I11" s="774">
        <v>96</v>
      </c>
      <c r="J11" s="213">
        <f>SUM(D11:I11)</f>
        <v>5525</v>
      </c>
      <c r="K11" s="506">
        <f>(SUM(D11:H11)*1.98)+(I11*2.06)</f>
        <v>10947.18</v>
      </c>
      <c r="M11" s="35"/>
    </row>
    <row r="12" spans="2:13" x14ac:dyDescent="0.3">
      <c r="C12" s="737">
        <f>IF(C11+1&lt;=$C$8,C11+1,0)</f>
        <v>45140</v>
      </c>
      <c r="D12" s="500">
        <v>5452</v>
      </c>
      <c r="E12" s="500">
        <v>18</v>
      </c>
      <c r="F12" s="500">
        <v>171</v>
      </c>
      <c r="G12" s="500">
        <v>0</v>
      </c>
      <c r="H12" s="500">
        <v>109</v>
      </c>
      <c r="I12" s="773">
        <v>111</v>
      </c>
      <c r="J12" s="214">
        <f t="shared" ref="J12:J39" si="0">SUM(D12:I12)</f>
        <v>5861</v>
      </c>
      <c r="K12" s="506">
        <f t="shared" ref="K12:K41" si="1">(SUM(D12:H12)*1.98)+(I12*2.06)</f>
        <v>11613.66</v>
      </c>
    </row>
    <row r="13" spans="2:13" x14ac:dyDescent="0.3">
      <c r="C13" s="36">
        <f t="shared" ref="C13:C41" si="2">IF(C12+1&lt;=$C$8,C12+1,0)</f>
        <v>45141</v>
      </c>
      <c r="D13" s="500">
        <v>5308</v>
      </c>
      <c r="E13" s="500">
        <v>18</v>
      </c>
      <c r="F13" s="500">
        <v>177</v>
      </c>
      <c r="G13" s="500">
        <v>13</v>
      </c>
      <c r="H13" s="500">
        <v>110</v>
      </c>
      <c r="I13" s="773">
        <v>96</v>
      </c>
      <c r="J13" s="214">
        <f t="shared" si="0"/>
        <v>5722</v>
      </c>
      <c r="K13" s="506">
        <f t="shared" si="1"/>
        <v>11337.24</v>
      </c>
    </row>
    <row r="14" spans="2:13" x14ac:dyDescent="0.3">
      <c r="C14" s="36">
        <f t="shared" si="2"/>
        <v>45142</v>
      </c>
      <c r="D14" s="500">
        <v>1641</v>
      </c>
      <c r="E14" s="500">
        <v>18</v>
      </c>
      <c r="F14" s="500">
        <v>177</v>
      </c>
      <c r="G14" s="500">
        <v>13</v>
      </c>
      <c r="H14" s="500">
        <v>0</v>
      </c>
      <c r="I14" s="773">
        <v>6877</v>
      </c>
      <c r="J14" s="214">
        <f t="shared" si="0"/>
        <v>8726</v>
      </c>
      <c r="K14" s="506">
        <f t="shared" si="1"/>
        <v>17827.64</v>
      </c>
      <c r="L14" s="3"/>
    </row>
    <row r="15" spans="2:13" x14ac:dyDescent="0.3">
      <c r="C15" s="36">
        <f t="shared" si="2"/>
        <v>45143</v>
      </c>
      <c r="D15" s="500">
        <v>3226</v>
      </c>
      <c r="E15" s="500">
        <v>12</v>
      </c>
      <c r="F15" s="500">
        <v>179</v>
      </c>
      <c r="G15" s="500">
        <v>13</v>
      </c>
      <c r="H15" s="500">
        <v>0</v>
      </c>
      <c r="I15" s="773">
        <v>84</v>
      </c>
      <c r="J15" s="214">
        <f t="shared" si="0"/>
        <v>3514</v>
      </c>
      <c r="K15" s="506">
        <f t="shared" si="1"/>
        <v>6964.44</v>
      </c>
    </row>
    <row r="16" spans="2:13" x14ac:dyDescent="0.3">
      <c r="C16" s="36">
        <f t="shared" si="2"/>
        <v>45144</v>
      </c>
      <c r="D16" s="500">
        <v>3256</v>
      </c>
      <c r="E16" s="500">
        <v>12</v>
      </c>
      <c r="F16" s="500">
        <v>180</v>
      </c>
      <c r="G16" s="500">
        <v>13</v>
      </c>
      <c r="H16" s="500">
        <v>0</v>
      </c>
      <c r="I16" s="773">
        <v>54</v>
      </c>
      <c r="J16" s="214">
        <f t="shared" si="0"/>
        <v>3515</v>
      </c>
      <c r="K16" s="506">
        <f t="shared" si="1"/>
        <v>6964.0199999999995</v>
      </c>
    </row>
    <row r="17" spans="3:11" x14ac:dyDescent="0.3">
      <c r="C17" s="36">
        <f t="shared" si="2"/>
        <v>45145</v>
      </c>
      <c r="D17" s="500">
        <v>5286</v>
      </c>
      <c r="E17" s="500">
        <v>18</v>
      </c>
      <c r="F17" s="500">
        <v>180</v>
      </c>
      <c r="G17" s="500">
        <v>13</v>
      </c>
      <c r="H17" s="500">
        <v>136</v>
      </c>
      <c r="I17" s="773">
        <v>97</v>
      </c>
      <c r="J17" s="214">
        <f t="shared" si="0"/>
        <v>5730</v>
      </c>
      <c r="K17" s="506">
        <f t="shared" si="1"/>
        <v>11353.16</v>
      </c>
    </row>
    <row r="18" spans="3:11" x14ac:dyDescent="0.3">
      <c r="C18" s="36">
        <f t="shared" si="2"/>
        <v>45146</v>
      </c>
      <c r="D18" s="500">
        <v>5178</v>
      </c>
      <c r="E18" s="500">
        <v>20</v>
      </c>
      <c r="F18" s="500">
        <v>168</v>
      </c>
      <c r="G18" s="500">
        <v>13</v>
      </c>
      <c r="H18" s="500">
        <v>145</v>
      </c>
      <c r="I18" s="773">
        <v>103</v>
      </c>
      <c r="J18" s="214">
        <f t="shared" si="0"/>
        <v>5627</v>
      </c>
      <c r="K18" s="506">
        <f t="shared" si="1"/>
        <v>11149.7</v>
      </c>
    </row>
    <row r="19" spans="3:11" x14ac:dyDescent="0.3">
      <c r="C19" s="36">
        <f t="shared" si="2"/>
        <v>45147</v>
      </c>
      <c r="D19" s="500">
        <v>5114</v>
      </c>
      <c r="E19" s="500">
        <v>22</v>
      </c>
      <c r="F19" s="500">
        <v>168</v>
      </c>
      <c r="G19" s="500">
        <v>13</v>
      </c>
      <c r="H19" s="500">
        <v>0</v>
      </c>
      <c r="I19" s="773">
        <v>111</v>
      </c>
      <c r="J19" s="214">
        <f t="shared" si="0"/>
        <v>5428</v>
      </c>
      <c r="K19" s="506">
        <f t="shared" si="1"/>
        <v>10756.32</v>
      </c>
    </row>
    <row r="20" spans="3:11" x14ac:dyDescent="0.3">
      <c r="C20" s="36">
        <f t="shared" si="2"/>
        <v>45148</v>
      </c>
      <c r="D20" s="500">
        <v>5257</v>
      </c>
      <c r="E20" s="500">
        <v>21</v>
      </c>
      <c r="F20" s="500">
        <v>174</v>
      </c>
      <c r="G20" s="500">
        <v>0</v>
      </c>
      <c r="H20" s="500">
        <v>105</v>
      </c>
      <c r="I20" s="773">
        <v>211</v>
      </c>
      <c r="J20" s="214">
        <f t="shared" si="0"/>
        <v>5768</v>
      </c>
      <c r="K20" s="506">
        <f t="shared" si="1"/>
        <v>11437.52</v>
      </c>
    </row>
    <row r="21" spans="3:11" x14ac:dyDescent="0.3">
      <c r="C21" s="36">
        <f t="shared" si="2"/>
        <v>45149</v>
      </c>
      <c r="D21" s="500">
        <v>5708</v>
      </c>
      <c r="E21" s="500">
        <v>21</v>
      </c>
      <c r="F21" s="500">
        <v>168</v>
      </c>
      <c r="G21" s="500">
        <v>0</v>
      </c>
      <c r="H21" s="500">
        <v>118</v>
      </c>
      <c r="I21" s="773">
        <v>120</v>
      </c>
      <c r="J21" s="214">
        <f t="shared" si="0"/>
        <v>6135</v>
      </c>
      <c r="K21" s="506">
        <f t="shared" si="1"/>
        <v>12156.900000000001</v>
      </c>
    </row>
    <row r="22" spans="3:11" x14ac:dyDescent="0.3">
      <c r="C22" s="36">
        <f t="shared" si="2"/>
        <v>45150</v>
      </c>
      <c r="D22" s="500">
        <v>3346</v>
      </c>
      <c r="E22" s="500">
        <v>14</v>
      </c>
      <c r="F22" s="500">
        <v>168</v>
      </c>
      <c r="G22" s="500">
        <v>0</v>
      </c>
      <c r="H22" s="500">
        <v>67</v>
      </c>
      <c r="I22" s="773">
        <v>55</v>
      </c>
      <c r="J22" s="214">
        <f t="shared" si="0"/>
        <v>3650</v>
      </c>
      <c r="K22" s="506">
        <f t="shared" si="1"/>
        <v>7231.4000000000005</v>
      </c>
    </row>
    <row r="23" spans="3:11" x14ac:dyDescent="0.3">
      <c r="C23" s="36">
        <f t="shared" si="2"/>
        <v>45151</v>
      </c>
      <c r="D23" s="500">
        <v>3402</v>
      </c>
      <c r="E23" s="500">
        <v>14</v>
      </c>
      <c r="F23" s="500">
        <v>168</v>
      </c>
      <c r="G23" s="500">
        <v>0</v>
      </c>
      <c r="H23" s="500">
        <v>0</v>
      </c>
      <c r="I23" s="773">
        <v>55</v>
      </c>
      <c r="J23" s="214">
        <f t="shared" si="0"/>
        <v>3639</v>
      </c>
      <c r="K23" s="506">
        <f t="shared" si="1"/>
        <v>7209.62</v>
      </c>
    </row>
    <row r="24" spans="3:11" x14ac:dyDescent="0.3">
      <c r="C24" s="36">
        <f t="shared" si="2"/>
        <v>45152</v>
      </c>
      <c r="D24" s="500">
        <v>4988</v>
      </c>
      <c r="E24" s="500">
        <v>21</v>
      </c>
      <c r="F24" s="500">
        <v>168</v>
      </c>
      <c r="G24" s="500">
        <v>0</v>
      </c>
      <c r="H24" s="500">
        <v>22</v>
      </c>
      <c r="I24" s="773">
        <v>120</v>
      </c>
      <c r="J24" s="214">
        <f t="shared" si="0"/>
        <v>5319</v>
      </c>
      <c r="K24" s="506">
        <f t="shared" si="1"/>
        <v>10541.220000000001</v>
      </c>
    </row>
    <row r="25" spans="3:11" x14ac:dyDescent="0.3">
      <c r="C25" s="36">
        <f t="shared" si="2"/>
        <v>45153</v>
      </c>
      <c r="D25" s="773">
        <v>5582</v>
      </c>
      <c r="E25" s="773">
        <v>21</v>
      </c>
      <c r="F25" s="773">
        <v>168</v>
      </c>
      <c r="G25" s="773">
        <v>0</v>
      </c>
      <c r="H25" s="773">
        <v>107</v>
      </c>
      <c r="I25" s="773">
        <v>85</v>
      </c>
      <c r="J25" s="214">
        <f t="shared" si="0"/>
        <v>5963</v>
      </c>
      <c r="K25" s="506">
        <f t="shared" si="1"/>
        <v>11813.54</v>
      </c>
    </row>
    <row r="26" spans="3:11" x14ac:dyDescent="0.3">
      <c r="C26" s="36">
        <f t="shared" si="2"/>
        <v>45154</v>
      </c>
      <c r="D26" s="773">
        <v>5491</v>
      </c>
      <c r="E26" s="773">
        <v>21</v>
      </c>
      <c r="F26" s="773">
        <v>168</v>
      </c>
      <c r="G26" s="773">
        <v>0</v>
      </c>
      <c r="H26" s="773">
        <v>97</v>
      </c>
      <c r="I26" s="773">
        <v>122</v>
      </c>
      <c r="J26" s="214">
        <f t="shared" si="0"/>
        <v>5899</v>
      </c>
      <c r="K26" s="506">
        <f t="shared" si="1"/>
        <v>11689.779999999999</v>
      </c>
    </row>
    <row r="27" spans="3:11" x14ac:dyDescent="0.3">
      <c r="C27" s="36">
        <f t="shared" si="2"/>
        <v>45155</v>
      </c>
      <c r="D27" s="773">
        <v>5461</v>
      </c>
      <c r="E27" s="773">
        <v>24</v>
      </c>
      <c r="F27" s="773">
        <v>147</v>
      </c>
      <c r="G27" s="773">
        <v>0</v>
      </c>
      <c r="H27" s="773">
        <v>147</v>
      </c>
      <c r="I27" s="773">
        <v>121</v>
      </c>
      <c r="J27" s="214">
        <f t="shared" si="0"/>
        <v>5900</v>
      </c>
      <c r="K27" s="506">
        <f t="shared" si="1"/>
        <v>11691.68</v>
      </c>
    </row>
    <row r="28" spans="3:11" x14ac:dyDescent="0.3">
      <c r="C28" s="36">
        <f t="shared" si="2"/>
        <v>45156</v>
      </c>
      <c r="D28" s="773">
        <v>5527</v>
      </c>
      <c r="E28" s="773">
        <v>24</v>
      </c>
      <c r="F28" s="773">
        <v>146</v>
      </c>
      <c r="G28" s="773">
        <v>0</v>
      </c>
      <c r="H28" s="773">
        <v>108</v>
      </c>
      <c r="I28" s="773">
        <v>118</v>
      </c>
      <c r="J28" s="214">
        <f t="shared" si="0"/>
        <v>5923</v>
      </c>
      <c r="K28" s="506">
        <f t="shared" si="1"/>
        <v>11736.98</v>
      </c>
    </row>
    <row r="29" spans="3:11" x14ac:dyDescent="0.3">
      <c r="C29" s="36">
        <f t="shared" si="2"/>
        <v>45157</v>
      </c>
      <c r="D29" s="773">
        <v>3173</v>
      </c>
      <c r="E29" s="773">
        <v>16</v>
      </c>
      <c r="F29" s="773">
        <v>147</v>
      </c>
      <c r="G29" s="773">
        <v>0</v>
      </c>
      <c r="H29" s="773">
        <v>0</v>
      </c>
      <c r="I29" s="773">
        <v>55</v>
      </c>
      <c r="J29" s="214">
        <f t="shared" si="0"/>
        <v>3391</v>
      </c>
      <c r="K29" s="506">
        <f t="shared" si="1"/>
        <v>6718.58</v>
      </c>
    </row>
    <row r="30" spans="3:11" x14ac:dyDescent="0.3">
      <c r="C30" s="36">
        <f t="shared" si="2"/>
        <v>45158</v>
      </c>
      <c r="D30" s="773">
        <v>3265</v>
      </c>
      <c r="E30" s="773">
        <v>16</v>
      </c>
      <c r="F30" s="773">
        <v>147</v>
      </c>
      <c r="G30" s="773">
        <v>0</v>
      </c>
      <c r="H30" s="773">
        <v>18</v>
      </c>
      <c r="I30" s="773">
        <v>78</v>
      </c>
      <c r="J30" s="214">
        <f t="shared" si="0"/>
        <v>3524</v>
      </c>
      <c r="K30" s="506">
        <f t="shared" si="1"/>
        <v>6983.76</v>
      </c>
    </row>
    <row r="31" spans="3:11" x14ac:dyDescent="0.3">
      <c r="C31" s="36">
        <f t="shared" si="2"/>
        <v>45159</v>
      </c>
      <c r="D31" s="773">
        <v>5421</v>
      </c>
      <c r="E31" s="773">
        <v>24</v>
      </c>
      <c r="F31" s="773">
        <v>147</v>
      </c>
      <c r="G31" s="773">
        <v>0</v>
      </c>
      <c r="H31" s="773">
        <v>80</v>
      </c>
      <c r="I31" s="773">
        <v>117</v>
      </c>
      <c r="J31" s="214">
        <f t="shared" si="0"/>
        <v>5789</v>
      </c>
      <c r="K31" s="506">
        <f t="shared" si="1"/>
        <v>11471.58</v>
      </c>
    </row>
    <row r="32" spans="3:11" x14ac:dyDescent="0.3">
      <c r="C32" s="36">
        <f t="shared" si="2"/>
        <v>45160</v>
      </c>
      <c r="D32" s="773">
        <v>5359</v>
      </c>
      <c r="E32" s="773">
        <v>24</v>
      </c>
      <c r="F32" s="773">
        <v>148</v>
      </c>
      <c r="G32" s="773">
        <v>0</v>
      </c>
      <c r="H32" s="773">
        <v>93</v>
      </c>
      <c r="I32" s="773">
        <v>97</v>
      </c>
      <c r="J32" s="214">
        <f t="shared" si="0"/>
        <v>5721</v>
      </c>
      <c r="K32" s="506">
        <f t="shared" si="1"/>
        <v>11335.34</v>
      </c>
    </row>
    <row r="33" spans="2:12" x14ac:dyDescent="0.3">
      <c r="C33" s="36">
        <f t="shared" si="2"/>
        <v>45161</v>
      </c>
      <c r="D33" s="773">
        <v>5487</v>
      </c>
      <c r="E33" s="773">
        <v>24</v>
      </c>
      <c r="F33" s="773">
        <v>150</v>
      </c>
      <c r="G33" s="773">
        <v>0</v>
      </c>
      <c r="H33" s="773">
        <v>104</v>
      </c>
      <c r="I33" s="773">
        <v>156</v>
      </c>
      <c r="J33" s="214">
        <f t="shared" si="0"/>
        <v>5921</v>
      </c>
      <c r="K33" s="506">
        <f t="shared" si="1"/>
        <v>11736.060000000001</v>
      </c>
    </row>
    <row r="34" spans="2:12" x14ac:dyDescent="0.3">
      <c r="C34" s="36">
        <f t="shared" si="2"/>
        <v>45162</v>
      </c>
      <c r="D34" s="773">
        <v>5331</v>
      </c>
      <c r="E34" s="773">
        <v>24</v>
      </c>
      <c r="F34" s="773">
        <v>153</v>
      </c>
      <c r="G34" s="773">
        <v>0</v>
      </c>
      <c r="H34" s="773">
        <v>140</v>
      </c>
      <c r="I34" s="773">
        <v>158</v>
      </c>
      <c r="J34" s="214">
        <f t="shared" si="0"/>
        <v>5806</v>
      </c>
      <c r="K34" s="506">
        <f t="shared" si="1"/>
        <v>11508.519999999999</v>
      </c>
    </row>
    <row r="35" spans="2:12" x14ac:dyDescent="0.3">
      <c r="C35" s="36">
        <f t="shared" si="2"/>
        <v>45163</v>
      </c>
      <c r="D35" s="773">
        <v>5281</v>
      </c>
      <c r="E35" s="773">
        <v>24</v>
      </c>
      <c r="F35" s="773">
        <v>153</v>
      </c>
      <c r="G35" s="773">
        <v>0</v>
      </c>
      <c r="H35" s="773">
        <v>131</v>
      </c>
      <c r="I35" s="773">
        <v>78</v>
      </c>
      <c r="J35" s="214">
        <f t="shared" si="0"/>
        <v>5667</v>
      </c>
      <c r="K35" s="506">
        <f t="shared" si="1"/>
        <v>11226.9</v>
      </c>
    </row>
    <row r="36" spans="2:12" x14ac:dyDescent="0.3">
      <c r="C36" s="36">
        <f t="shared" si="2"/>
        <v>45164</v>
      </c>
      <c r="D36" s="773">
        <v>3397</v>
      </c>
      <c r="E36" s="773">
        <v>16</v>
      </c>
      <c r="F36" s="773">
        <v>153</v>
      </c>
      <c r="G36" s="773">
        <v>0</v>
      </c>
      <c r="H36" s="773">
        <v>0</v>
      </c>
      <c r="I36" s="773">
        <v>55</v>
      </c>
      <c r="J36" s="214">
        <f t="shared" si="0"/>
        <v>3621</v>
      </c>
      <c r="K36" s="506">
        <f t="shared" si="1"/>
        <v>7173.9800000000005</v>
      </c>
    </row>
    <row r="37" spans="2:12" x14ac:dyDescent="0.3">
      <c r="C37" s="36">
        <f t="shared" si="2"/>
        <v>45165</v>
      </c>
      <c r="D37" s="773">
        <v>3446</v>
      </c>
      <c r="E37" s="773">
        <v>16</v>
      </c>
      <c r="F37" s="773">
        <v>153</v>
      </c>
      <c r="G37" s="773">
        <v>0</v>
      </c>
      <c r="H37" s="773">
        <v>5</v>
      </c>
      <c r="I37" s="773">
        <v>55</v>
      </c>
      <c r="J37" s="214">
        <f t="shared" si="0"/>
        <v>3675</v>
      </c>
      <c r="K37" s="506">
        <f t="shared" si="1"/>
        <v>7280.9000000000005</v>
      </c>
    </row>
    <row r="38" spans="2:12" x14ac:dyDescent="0.3">
      <c r="C38" s="36">
        <f t="shared" si="2"/>
        <v>45166</v>
      </c>
      <c r="D38" s="773">
        <v>5400</v>
      </c>
      <c r="E38" s="773">
        <v>24</v>
      </c>
      <c r="F38" s="773">
        <v>153</v>
      </c>
      <c r="G38" s="773">
        <v>0</v>
      </c>
      <c r="H38" s="773">
        <v>117</v>
      </c>
      <c r="I38" s="773">
        <v>65</v>
      </c>
      <c r="J38" s="214">
        <f t="shared" si="0"/>
        <v>5759</v>
      </c>
      <c r="K38" s="506">
        <f t="shared" si="1"/>
        <v>11408.02</v>
      </c>
    </row>
    <row r="39" spans="2:12" x14ac:dyDescent="0.3">
      <c r="C39" s="36">
        <f t="shared" si="2"/>
        <v>45167</v>
      </c>
      <c r="D39" s="773">
        <v>5136</v>
      </c>
      <c r="E39" s="773">
        <v>24</v>
      </c>
      <c r="F39" s="773">
        <v>153</v>
      </c>
      <c r="G39" s="773">
        <v>0</v>
      </c>
      <c r="H39" s="773">
        <v>124</v>
      </c>
      <c r="I39" s="773">
        <v>143</v>
      </c>
      <c r="J39" s="500">
        <f t="shared" si="0"/>
        <v>5580</v>
      </c>
      <c r="K39" s="506">
        <f t="shared" si="1"/>
        <v>11059.84</v>
      </c>
    </row>
    <row r="40" spans="2:12" x14ac:dyDescent="0.3">
      <c r="C40" s="36">
        <f t="shared" si="2"/>
        <v>45168</v>
      </c>
      <c r="D40" s="773">
        <v>5550</v>
      </c>
      <c r="E40" s="773">
        <v>24</v>
      </c>
      <c r="F40" s="773">
        <v>159</v>
      </c>
      <c r="G40" s="773">
        <v>0</v>
      </c>
      <c r="H40" s="773">
        <v>113</v>
      </c>
      <c r="I40" s="773">
        <v>81</v>
      </c>
      <c r="J40" s="500">
        <f>SUM(D40:I40)</f>
        <v>5927</v>
      </c>
      <c r="K40" s="506">
        <f t="shared" si="1"/>
        <v>11741.94</v>
      </c>
    </row>
    <row r="41" spans="2:12" x14ac:dyDescent="0.3">
      <c r="C41" s="36">
        <f t="shared" si="2"/>
        <v>45169</v>
      </c>
      <c r="D41" s="778">
        <v>5315</v>
      </c>
      <c r="E41" s="778">
        <v>24</v>
      </c>
      <c r="F41" s="778">
        <v>159</v>
      </c>
      <c r="G41" s="778">
        <v>0</v>
      </c>
      <c r="H41" s="778">
        <v>162</v>
      </c>
      <c r="I41" s="778">
        <v>80</v>
      </c>
      <c r="J41" s="500">
        <f>SUM(D41:I41)</f>
        <v>5740</v>
      </c>
      <c r="K41" s="506">
        <f t="shared" si="1"/>
        <v>11371.599999999999</v>
      </c>
      <c r="L41" s="885"/>
    </row>
    <row r="42" spans="2:12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  <c r="L42" s="885"/>
    </row>
    <row r="43" spans="2:12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  <c r="L43" s="885"/>
    </row>
    <row r="44" spans="2:12" x14ac:dyDescent="0.3">
      <c r="C44" s="36" t="s">
        <v>197</v>
      </c>
      <c r="D44" s="192"/>
      <c r="E44" s="192"/>
      <c r="F44" s="192"/>
      <c r="G44" s="192"/>
      <c r="H44" s="214"/>
      <c r="I44" s="214"/>
      <c r="J44" s="192"/>
      <c r="K44" s="38">
        <f>'Facility Requested Meals + Bulk'!BS16+'Facility Requested Meals + Bulk'!BS33+'Facility Requested Meals + Bulk'!BS50+'Facility Requested Meals + Bulk'!BS67+'Facility Requested Meals + Bulk'!BS84+'Facility Requested Meals + Bulk'!BS101</f>
        <v>36072.229999999996</v>
      </c>
    </row>
    <row r="45" spans="2:12" x14ac:dyDescent="0.3">
      <c r="C45" s="36" t="s">
        <v>184</v>
      </c>
      <c r="D45" s="192"/>
      <c r="E45" s="192"/>
      <c r="F45" s="192"/>
      <c r="G45" s="209"/>
      <c r="H45" s="293"/>
      <c r="I45" s="293"/>
      <c r="J45" s="293"/>
      <c r="K45" s="168">
        <v>0</v>
      </c>
    </row>
    <row r="46" spans="2:12" x14ac:dyDescent="0.3">
      <c r="C46" s="36" t="s">
        <v>581</v>
      </c>
      <c r="D46" s="192"/>
      <c r="E46" s="192"/>
      <c r="F46" s="192"/>
      <c r="G46" s="209"/>
      <c r="H46" s="209"/>
      <c r="I46" s="209"/>
      <c r="J46" s="209"/>
      <c r="K46" s="38">
        <v>0</v>
      </c>
    </row>
    <row r="47" spans="2:12" x14ac:dyDescent="0.3">
      <c r="B47" t="s">
        <v>224</v>
      </c>
      <c r="C47" s="36" t="s">
        <v>185</v>
      </c>
      <c r="D47" s="192"/>
      <c r="E47" s="192"/>
      <c r="F47" s="192"/>
      <c r="G47" s="192"/>
      <c r="H47" s="214"/>
      <c r="I47" s="214"/>
      <c r="J47" s="192"/>
      <c r="K47" s="38">
        <f>-'August - EE Credits FY23  '!O15</f>
        <v>-4454.7999999999993</v>
      </c>
    </row>
    <row r="48" spans="2:12" x14ac:dyDescent="0.3">
      <c r="B48" t="s">
        <v>224</v>
      </c>
      <c r="C48" s="36" t="s">
        <v>232</v>
      </c>
      <c r="D48" s="192"/>
      <c r="E48" s="192"/>
      <c r="F48" s="192"/>
      <c r="G48" s="192"/>
      <c r="H48" s="214"/>
      <c r="I48" s="214"/>
      <c r="J48" s="192"/>
      <c r="K48" s="38">
        <f>-'August - EE Credits FY23  '!P15</f>
        <v>126.30551558752995</v>
      </c>
    </row>
    <row r="49" spans="2:12" x14ac:dyDescent="0.3">
      <c r="B49" t="s">
        <v>224</v>
      </c>
      <c r="C49" s="36" t="s">
        <v>245</v>
      </c>
      <c r="D49" s="192"/>
      <c r="E49" s="192"/>
      <c r="F49" s="192"/>
      <c r="G49" s="192"/>
      <c r="H49" s="214"/>
      <c r="I49" s="214"/>
      <c r="J49" s="192"/>
      <c r="K49" s="38">
        <f>'August - EE OT'!M15*-1</f>
        <v>0</v>
      </c>
    </row>
    <row r="50" spans="2:12" x14ac:dyDescent="0.3">
      <c r="B50" t="s">
        <v>224</v>
      </c>
      <c r="C50" s="36" t="s">
        <v>243</v>
      </c>
      <c r="D50" s="192"/>
      <c r="E50" s="192"/>
      <c r="F50" s="192"/>
      <c r="G50" s="192"/>
      <c r="H50" s="214"/>
      <c r="I50" s="214"/>
      <c r="J50" s="192"/>
      <c r="K50" s="38">
        <f>'State to ARA Charge Aug FY23'!AI93</f>
        <v>0</v>
      </c>
    </row>
    <row r="51" spans="2:12" x14ac:dyDescent="0.3">
      <c r="C51" s="36" t="s">
        <v>671</v>
      </c>
      <c r="D51" s="192"/>
      <c r="E51" s="192"/>
      <c r="F51" s="192"/>
      <c r="G51" s="192"/>
      <c r="H51" s="214"/>
      <c r="I51" s="192"/>
      <c r="J51" s="192"/>
      <c r="K51" s="38">
        <v>0</v>
      </c>
    </row>
    <row r="52" spans="2:12" x14ac:dyDescent="0.3">
      <c r="C52" s="205" t="s">
        <v>195</v>
      </c>
      <c r="D52" s="209"/>
      <c r="E52" s="209"/>
      <c r="F52" s="209"/>
      <c r="G52" s="209"/>
      <c r="H52" s="214"/>
      <c r="I52" s="209"/>
      <c r="J52" s="209"/>
      <c r="K52" s="649">
        <f>'Inv Usage Credits'!O73*-1</f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31743.735515587527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3">
      <c r="C57" s="42" t="s">
        <v>13</v>
      </c>
      <c r="D57" s="212">
        <f>SUM(D11:D41)</f>
        <v>145898</v>
      </c>
      <c r="E57" s="212">
        <f t="shared" ref="E57:J57" si="4">SUM(E11:E41)</f>
        <v>617</v>
      </c>
      <c r="F57" s="212">
        <f t="shared" si="4"/>
        <v>5018</v>
      </c>
      <c r="G57" s="212">
        <f t="shared" si="4"/>
        <v>91</v>
      </c>
      <c r="H57" s="212">
        <f t="shared" si="4"/>
        <v>2487</v>
      </c>
      <c r="I57" s="212">
        <f t="shared" si="4"/>
        <v>9854</v>
      </c>
      <c r="J57" s="212">
        <f t="shared" si="4"/>
        <v>163965</v>
      </c>
      <c r="K57" s="168">
        <f>(SUM(D57:H57)*1.98)+(I57*2.06)</f>
        <v>325439.01999999996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357182.75551558752</v>
      </c>
      <c r="L59" s="41"/>
    </row>
    <row r="68" hidden="1" x14ac:dyDescent="0.3"/>
  </sheetData>
  <mergeCells count="4">
    <mergeCell ref="G6:J6"/>
    <mergeCell ref="G5:J5"/>
    <mergeCell ref="J7:K7"/>
    <mergeCell ref="L41:L43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5:L66"/>
  <sheetViews>
    <sheetView showGridLines="0" topLeftCell="A33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2.5546875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2" ht="25.8" x14ac:dyDescent="0.5">
      <c r="G5" s="880" t="s">
        <v>10</v>
      </c>
      <c r="H5" s="880"/>
      <c r="I5" s="880"/>
      <c r="J5" s="880"/>
      <c r="K5" s="37"/>
      <c r="L5" s="37"/>
    </row>
    <row r="6" spans="2:12" ht="18" x14ac:dyDescent="0.35">
      <c r="B6" s="43" t="s">
        <v>12</v>
      </c>
      <c r="C6" s="44">
        <f>'DOC Invoice'!J2</f>
        <v>11</v>
      </c>
      <c r="G6" s="879" t="s">
        <v>151</v>
      </c>
      <c r="H6" s="879"/>
      <c r="I6" s="879"/>
      <c r="J6" s="879"/>
      <c r="K6" s="181"/>
      <c r="L6" s="181"/>
    </row>
    <row r="7" spans="2:12" x14ac:dyDescent="0.3">
      <c r="B7" s="43" t="s">
        <v>14</v>
      </c>
      <c r="C7" s="45">
        <f>'DOC Invoice'!J3</f>
        <v>45139</v>
      </c>
      <c r="J7" s="883"/>
      <c r="K7" s="883"/>
    </row>
    <row r="8" spans="2:12" x14ac:dyDescent="0.3">
      <c r="B8" s="43" t="s">
        <v>15</v>
      </c>
      <c r="C8" s="45">
        <f>'DOC Invoice'!J4</f>
        <v>45169</v>
      </c>
      <c r="H8" s="187"/>
      <c r="I8" s="53" t="s">
        <v>152</v>
      </c>
      <c r="J8" s="42"/>
    </row>
    <row r="9" spans="2:12" ht="15" thickBot="1" x14ac:dyDescent="0.35"/>
    <row r="10" spans="2:12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</row>
    <row r="11" spans="2:12" x14ac:dyDescent="0.3">
      <c r="C11" s="36">
        <f>C7</f>
        <v>45139</v>
      </c>
      <c r="D11" s="500">
        <v>1498</v>
      </c>
      <c r="E11" s="500">
        <v>6</v>
      </c>
      <c r="F11" s="500">
        <v>268</v>
      </c>
      <c r="G11" s="500">
        <v>0</v>
      </c>
      <c r="H11" s="500">
        <v>157</v>
      </c>
      <c r="I11" s="774">
        <v>73</v>
      </c>
      <c r="J11" s="213">
        <f>SUM(D11:I11)</f>
        <v>2002</v>
      </c>
      <c r="K11" s="506">
        <f>(SUM(D11:H11)*1.98)+(I11*2.06)</f>
        <v>3969.8</v>
      </c>
    </row>
    <row r="12" spans="2:12" x14ac:dyDescent="0.3">
      <c r="C12" s="36">
        <f>IF(C11+1&lt;=$C$8,C11+1,0)</f>
        <v>45140</v>
      </c>
      <c r="D12" s="500">
        <v>1418</v>
      </c>
      <c r="E12" s="500">
        <v>6</v>
      </c>
      <c r="F12" s="500">
        <v>269</v>
      </c>
      <c r="G12" s="500">
        <v>0</v>
      </c>
      <c r="H12" s="500">
        <v>145</v>
      </c>
      <c r="I12" s="773">
        <v>103</v>
      </c>
      <c r="J12" s="214">
        <f t="shared" ref="J12:J40" si="0">SUM(D12:I12)</f>
        <v>1941</v>
      </c>
      <c r="K12" s="506">
        <f t="shared" ref="K12:K41" si="1">(SUM(D12:H12)*1.98)+(I12*2.06)</f>
        <v>3851.4199999999996</v>
      </c>
    </row>
    <row r="13" spans="2:12" x14ac:dyDescent="0.3">
      <c r="C13" s="36">
        <f t="shared" ref="C13:C41" si="2">IF(C12+1&lt;=$C$8,C12+1,0)</f>
        <v>45141</v>
      </c>
      <c r="D13" s="500">
        <v>1545</v>
      </c>
      <c r="E13" s="500">
        <v>6</v>
      </c>
      <c r="F13" s="500">
        <v>279</v>
      </c>
      <c r="G13" s="500">
        <v>0</v>
      </c>
      <c r="H13" s="500">
        <v>158</v>
      </c>
      <c r="I13" s="773">
        <v>63</v>
      </c>
      <c r="J13" s="214">
        <f t="shared" si="0"/>
        <v>2051</v>
      </c>
      <c r="K13" s="506">
        <f t="shared" si="1"/>
        <v>4066.02</v>
      </c>
    </row>
    <row r="14" spans="2:12" x14ac:dyDescent="0.3">
      <c r="C14" s="36">
        <f t="shared" si="2"/>
        <v>45142</v>
      </c>
      <c r="D14" s="500">
        <v>1462</v>
      </c>
      <c r="E14" s="500">
        <v>6</v>
      </c>
      <c r="F14" s="500">
        <v>288</v>
      </c>
      <c r="G14" s="500">
        <v>0</v>
      </c>
      <c r="H14" s="500">
        <v>153</v>
      </c>
      <c r="I14" s="773">
        <v>65</v>
      </c>
      <c r="J14" s="214">
        <f t="shared" si="0"/>
        <v>1974</v>
      </c>
      <c r="K14" s="506">
        <f t="shared" si="1"/>
        <v>3913.7200000000003</v>
      </c>
      <c r="L14" s="3"/>
    </row>
    <row r="15" spans="2:12" x14ac:dyDescent="0.3">
      <c r="C15" s="36">
        <f t="shared" si="2"/>
        <v>45143</v>
      </c>
      <c r="D15" s="500">
        <v>1387</v>
      </c>
      <c r="E15" s="500">
        <v>6</v>
      </c>
      <c r="F15" s="500">
        <v>275</v>
      </c>
      <c r="G15" s="500">
        <v>0</v>
      </c>
      <c r="H15" s="500">
        <v>127</v>
      </c>
      <c r="I15" s="773">
        <v>0</v>
      </c>
      <c r="J15" s="214">
        <f t="shared" si="0"/>
        <v>1795</v>
      </c>
      <c r="K15" s="506">
        <f t="shared" si="1"/>
        <v>3554.1</v>
      </c>
    </row>
    <row r="16" spans="2:12" x14ac:dyDescent="0.3">
      <c r="C16" s="36">
        <f t="shared" si="2"/>
        <v>45144</v>
      </c>
      <c r="D16" s="500">
        <v>1398</v>
      </c>
      <c r="E16" s="500">
        <v>6</v>
      </c>
      <c r="F16" s="500">
        <v>274</v>
      </c>
      <c r="G16" s="500">
        <v>0</v>
      </c>
      <c r="H16" s="500">
        <v>128</v>
      </c>
      <c r="I16" s="773">
        <v>0</v>
      </c>
      <c r="J16" s="214">
        <f t="shared" si="0"/>
        <v>1806</v>
      </c>
      <c r="K16" s="506">
        <f t="shared" si="1"/>
        <v>3575.88</v>
      </c>
    </row>
    <row r="17" spans="3:12" x14ac:dyDescent="0.3">
      <c r="C17" s="36">
        <f t="shared" si="2"/>
        <v>45145</v>
      </c>
      <c r="D17" s="500">
        <v>1468</v>
      </c>
      <c r="E17" s="500">
        <v>6</v>
      </c>
      <c r="F17" s="500">
        <v>276</v>
      </c>
      <c r="G17" s="500">
        <v>0</v>
      </c>
      <c r="H17" s="500">
        <v>155</v>
      </c>
      <c r="I17" s="773">
        <v>65</v>
      </c>
      <c r="J17" s="214">
        <f t="shared" si="0"/>
        <v>1970</v>
      </c>
      <c r="K17" s="506">
        <f t="shared" si="1"/>
        <v>3905.8</v>
      </c>
    </row>
    <row r="18" spans="3:12" x14ac:dyDescent="0.3">
      <c r="C18" s="36">
        <f t="shared" si="2"/>
        <v>45146</v>
      </c>
      <c r="D18" s="500">
        <v>1416</v>
      </c>
      <c r="E18" s="500">
        <v>6</v>
      </c>
      <c r="F18" s="500">
        <v>282</v>
      </c>
      <c r="G18" s="500">
        <v>0</v>
      </c>
      <c r="H18" s="500">
        <v>157</v>
      </c>
      <c r="I18" s="773">
        <v>60</v>
      </c>
      <c r="J18" s="214">
        <f t="shared" si="0"/>
        <v>1921</v>
      </c>
      <c r="K18" s="506">
        <f t="shared" si="1"/>
        <v>3808.3799999999997</v>
      </c>
      <c r="L18" s="450"/>
    </row>
    <row r="19" spans="3:12" x14ac:dyDescent="0.3">
      <c r="C19" s="36">
        <f t="shared" si="2"/>
        <v>45147</v>
      </c>
      <c r="D19" s="500">
        <v>1543</v>
      </c>
      <c r="E19" s="500">
        <v>6</v>
      </c>
      <c r="F19" s="500">
        <v>279</v>
      </c>
      <c r="G19" s="500">
        <v>0</v>
      </c>
      <c r="H19" s="500">
        <v>185</v>
      </c>
      <c r="I19" s="773">
        <v>133</v>
      </c>
      <c r="J19" s="214">
        <f t="shared" si="0"/>
        <v>2146</v>
      </c>
      <c r="K19" s="506">
        <f t="shared" si="1"/>
        <v>4259.7199999999993</v>
      </c>
    </row>
    <row r="20" spans="3:12" x14ac:dyDescent="0.3">
      <c r="C20" s="36">
        <f t="shared" si="2"/>
        <v>45148</v>
      </c>
      <c r="D20" s="500">
        <v>1533</v>
      </c>
      <c r="E20" s="500">
        <v>6</v>
      </c>
      <c r="F20" s="500">
        <v>273</v>
      </c>
      <c r="G20" s="500">
        <v>0</v>
      </c>
      <c r="H20" s="500">
        <v>167</v>
      </c>
      <c r="I20" s="773">
        <v>78</v>
      </c>
      <c r="J20" s="214">
        <f t="shared" si="0"/>
        <v>2057</v>
      </c>
      <c r="K20" s="506">
        <f t="shared" si="1"/>
        <v>4079.1</v>
      </c>
    </row>
    <row r="21" spans="3:12" x14ac:dyDescent="0.3">
      <c r="C21" s="36">
        <f t="shared" si="2"/>
        <v>45149</v>
      </c>
      <c r="D21" s="500">
        <v>1497</v>
      </c>
      <c r="E21" s="500">
        <v>6</v>
      </c>
      <c r="F21" s="500">
        <v>282</v>
      </c>
      <c r="G21" s="500">
        <v>0</v>
      </c>
      <c r="H21" s="500">
        <v>150</v>
      </c>
      <c r="I21" s="773">
        <v>65</v>
      </c>
      <c r="J21" s="214">
        <f t="shared" si="0"/>
        <v>2000</v>
      </c>
      <c r="K21" s="506">
        <f t="shared" si="1"/>
        <v>3965.2000000000003</v>
      </c>
    </row>
    <row r="22" spans="3:12" x14ac:dyDescent="0.3">
      <c r="C22" s="36">
        <f t="shared" si="2"/>
        <v>45150</v>
      </c>
      <c r="D22" s="500">
        <v>1395</v>
      </c>
      <c r="E22" s="500">
        <v>6</v>
      </c>
      <c r="F22" s="500">
        <v>276</v>
      </c>
      <c r="G22" s="500">
        <v>0</v>
      </c>
      <c r="H22" s="500">
        <v>122</v>
      </c>
      <c r="I22" s="773">
        <v>0</v>
      </c>
      <c r="J22" s="214">
        <f t="shared" si="0"/>
        <v>1799</v>
      </c>
      <c r="K22" s="506">
        <f t="shared" si="1"/>
        <v>3562.02</v>
      </c>
    </row>
    <row r="23" spans="3:12" x14ac:dyDescent="0.3">
      <c r="C23" s="36">
        <f t="shared" si="2"/>
        <v>45151</v>
      </c>
      <c r="D23" s="500">
        <v>1408</v>
      </c>
      <c r="E23" s="500">
        <v>6</v>
      </c>
      <c r="F23" s="500">
        <v>273</v>
      </c>
      <c r="G23" s="500">
        <v>0</v>
      </c>
      <c r="H23" s="500">
        <v>133</v>
      </c>
      <c r="I23" s="773">
        <v>0</v>
      </c>
      <c r="J23" s="214">
        <f t="shared" si="0"/>
        <v>1820</v>
      </c>
      <c r="K23" s="506">
        <f t="shared" si="1"/>
        <v>3603.6</v>
      </c>
    </row>
    <row r="24" spans="3:12" x14ac:dyDescent="0.3">
      <c r="C24" s="36">
        <f t="shared" si="2"/>
        <v>45152</v>
      </c>
      <c r="D24" s="500">
        <v>1459</v>
      </c>
      <c r="E24" s="500">
        <v>6</v>
      </c>
      <c r="F24" s="500">
        <v>276</v>
      </c>
      <c r="G24" s="500">
        <v>0</v>
      </c>
      <c r="H24" s="500">
        <v>161</v>
      </c>
      <c r="I24" s="773">
        <v>118</v>
      </c>
      <c r="J24" s="214">
        <f t="shared" si="0"/>
        <v>2020</v>
      </c>
      <c r="K24" s="506">
        <f t="shared" si="1"/>
        <v>4009.04</v>
      </c>
    </row>
    <row r="25" spans="3:12" x14ac:dyDescent="0.3">
      <c r="C25" s="36">
        <f t="shared" si="2"/>
        <v>45153</v>
      </c>
      <c r="D25" s="773">
        <v>1550</v>
      </c>
      <c r="E25" s="773">
        <v>6</v>
      </c>
      <c r="F25" s="773">
        <v>279</v>
      </c>
      <c r="G25" s="773">
        <v>0</v>
      </c>
      <c r="H25" s="773">
        <v>160</v>
      </c>
      <c r="I25" s="773">
        <v>60</v>
      </c>
      <c r="J25" s="214">
        <f t="shared" si="0"/>
        <v>2055</v>
      </c>
      <c r="K25" s="506">
        <f t="shared" si="1"/>
        <v>4073.7</v>
      </c>
    </row>
    <row r="26" spans="3:12" x14ac:dyDescent="0.3">
      <c r="C26" s="36">
        <f t="shared" si="2"/>
        <v>45154</v>
      </c>
      <c r="D26" s="773">
        <v>1675</v>
      </c>
      <c r="E26" s="773">
        <v>6</v>
      </c>
      <c r="F26" s="773">
        <v>293</v>
      </c>
      <c r="G26" s="773">
        <v>0</v>
      </c>
      <c r="H26" s="773">
        <v>148</v>
      </c>
      <c r="I26" s="773">
        <v>128</v>
      </c>
      <c r="J26" s="214">
        <f t="shared" si="0"/>
        <v>2250</v>
      </c>
      <c r="K26" s="506">
        <f t="shared" si="1"/>
        <v>4465.2400000000007</v>
      </c>
    </row>
    <row r="27" spans="3:12" x14ac:dyDescent="0.3">
      <c r="C27" s="36">
        <f t="shared" si="2"/>
        <v>45155</v>
      </c>
      <c r="D27" s="773">
        <v>1623</v>
      </c>
      <c r="E27" s="773">
        <v>6</v>
      </c>
      <c r="F27" s="773">
        <v>285</v>
      </c>
      <c r="G27" s="773">
        <v>0</v>
      </c>
      <c r="H27" s="773">
        <v>193</v>
      </c>
      <c r="I27" s="773">
        <v>68</v>
      </c>
      <c r="J27" s="214">
        <f t="shared" si="0"/>
        <v>2175</v>
      </c>
      <c r="K27" s="506">
        <f t="shared" si="1"/>
        <v>4311.9399999999996</v>
      </c>
    </row>
    <row r="28" spans="3:12" x14ac:dyDescent="0.3">
      <c r="C28" s="36">
        <f t="shared" si="2"/>
        <v>45156</v>
      </c>
      <c r="D28" s="773">
        <v>1437</v>
      </c>
      <c r="E28" s="773">
        <v>6</v>
      </c>
      <c r="F28" s="773">
        <v>267</v>
      </c>
      <c r="G28" s="773">
        <v>0</v>
      </c>
      <c r="H28" s="773">
        <v>158</v>
      </c>
      <c r="I28" s="773">
        <v>123</v>
      </c>
      <c r="J28" s="214">
        <f t="shared" si="0"/>
        <v>1991</v>
      </c>
      <c r="K28" s="506">
        <f t="shared" si="1"/>
        <v>3952.02</v>
      </c>
    </row>
    <row r="29" spans="3:12" x14ac:dyDescent="0.3">
      <c r="C29" s="36">
        <f t="shared" si="2"/>
        <v>45157</v>
      </c>
      <c r="D29" s="773">
        <v>1460</v>
      </c>
      <c r="E29" s="773">
        <v>6</v>
      </c>
      <c r="F29" s="773">
        <v>264</v>
      </c>
      <c r="G29" s="773">
        <v>0</v>
      </c>
      <c r="H29" s="773">
        <v>122</v>
      </c>
      <c r="I29" s="773">
        <v>0</v>
      </c>
      <c r="J29" s="214">
        <f t="shared" si="0"/>
        <v>1852</v>
      </c>
      <c r="K29" s="506">
        <f t="shared" si="1"/>
        <v>3666.96</v>
      </c>
      <c r="L29" s="450"/>
    </row>
    <row r="30" spans="3:12" x14ac:dyDescent="0.3">
      <c r="C30" s="36">
        <f t="shared" si="2"/>
        <v>45158</v>
      </c>
      <c r="D30" s="773">
        <v>1409</v>
      </c>
      <c r="E30" s="773">
        <v>6</v>
      </c>
      <c r="F30" s="773">
        <v>264</v>
      </c>
      <c r="G30" s="773">
        <v>0</v>
      </c>
      <c r="H30" s="773">
        <v>135</v>
      </c>
      <c r="I30" s="773">
        <v>0</v>
      </c>
      <c r="J30" s="214">
        <f t="shared" si="0"/>
        <v>1814</v>
      </c>
      <c r="K30" s="506">
        <f t="shared" si="1"/>
        <v>3591.72</v>
      </c>
    </row>
    <row r="31" spans="3:12" x14ac:dyDescent="0.3">
      <c r="C31" s="36">
        <f t="shared" si="2"/>
        <v>45159</v>
      </c>
      <c r="D31" s="773">
        <v>1421</v>
      </c>
      <c r="E31" s="773">
        <v>6</v>
      </c>
      <c r="F31" s="773">
        <v>258</v>
      </c>
      <c r="G31" s="773">
        <v>0</v>
      </c>
      <c r="H31" s="773">
        <v>157</v>
      </c>
      <c r="I31" s="773">
        <v>118</v>
      </c>
      <c r="J31" s="214">
        <f t="shared" si="0"/>
        <v>1960</v>
      </c>
      <c r="K31" s="506">
        <f t="shared" si="1"/>
        <v>3890.24</v>
      </c>
      <c r="L31" s="450"/>
    </row>
    <row r="32" spans="3:12" x14ac:dyDescent="0.3">
      <c r="C32" s="36">
        <f t="shared" si="2"/>
        <v>45160</v>
      </c>
      <c r="D32" s="773">
        <v>1514</v>
      </c>
      <c r="E32" s="773">
        <v>6</v>
      </c>
      <c r="F32" s="773">
        <v>264</v>
      </c>
      <c r="G32" s="773">
        <v>0</v>
      </c>
      <c r="H32" s="773">
        <v>169</v>
      </c>
      <c r="I32" s="773">
        <v>61</v>
      </c>
      <c r="J32" s="214">
        <f t="shared" si="0"/>
        <v>2014</v>
      </c>
      <c r="K32" s="506">
        <f t="shared" si="1"/>
        <v>3992.6</v>
      </c>
      <c r="L32" s="450"/>
    </row>
    <row r="33" spans="2:12" x14ac:dyDescent="0.3">
      <c r="C33" s="36">
        <f t="shared" si="2"/>
        <v>45161</v>
      </c>
      <c r="D33" s="773">
        <v>1532</v>
      </c>
      <c r="E33" s="773">
        <v>6</v>
      </c>
      <c r="F33" s="773">
        <v>268</v>
      </c>
      <c r="G33" s="773">
        <v>0</v>
      </c>
      <c r="H33" s="773">
        <v>161</v>
      </c>
      <c r="I33" s="773">
        <v>123</v>
      </c>
      <c r="J33" s="214">
        <f t="shared" si="0"/>
        <v>2090</v>
      </c>
      <c r="K33" s="506">
        <f t="shared" si="1"/>
        <v>4148.04</v>
      </c>
      <c r="L33" s="450"/>
    </row>
    <row r="34" spans="2:12" x14ac:dyDescent="0.3">
      <c r="C34" s="36">
        <f t="shared" si="2"/>
        <v>45162</v>
      </c>
      <c r="D34" s="773">
        <v>1611</v>
      </c>
      <c r="E34" s="773">
        <v>6</v>
      </c>
      <c r="F34" s="773">
        <v>276</v>
      </c>
      <c r="G34" s="773">
        <v>0</v>
      </c>
      <c r="H34" s="773">
        <v>162</v>
      </c>
      <c r="I34" s="773">
        <v>70</v>
      </c>
      <c r="J34" s="214">
        <f t="shared" si="0"/>
        <v>2125</v>
      </c>
      <c r="K34" s="506">
        <f t="shared" si="1"/>
        <v>4213.1000000000004</v>
      </c>
      <c r="L34" s="450"/>
    </row>
    <row r="35" spans="2:12" x14ac:dyDescent="0.3">
      <c r="C35" s="36">
        <f t="shared" si="2"/>
        <v>45163</v>
      </c>
      <c r="D35" s="773">
        <v>1511</v>
      </c>
      <c r="E35" s="773">
        <v>6</v>
      </c>
      <c r="F35" s="773">
        <v>282</v>
      </c>
      <c r="G35" s="773">
        <v>0</v>
      </c>
      <c r="H35" s="773">
        <v>156</v>
      </c>
      <c r="I35" s="773">
        <v>65</v>
      </c>
      <c r="J35" s="214">
        <f t="shared" si="0"/>
        <v>2020</v>
      </c>
      <c r="K35" s="506">
        <f t="shared" si="1"/>
        <v>4004.8</v>
      </c>
    </row>
    <row r="36" spans="2:12" x14ac:dyDescent="0.3">
      <c r="C36" s="36">
        <f t="shared" si="2"/>
        <v>45164</v>
      </c>
      <c r="D36" s="773">
        <v>1418</v>
      </c>
      <c r="E36" s="773">
        <v>6</v>
      </c>
      <c r="F36" s="773">
        <v>285</v>
      </c>
      <c r="G36" s="773">
        <v>0</v>
      </c>
      <c r="H36" s="773">
        <v>120</v>
      </c>
      <c r="I36" s="773">
        <v>0</v>
      </c>
      <c r="J36" s="214">
        <f t="shared" si="0"/>
        <v>1829</v>
      </c>
      <c r="K36" s="506">
        <f t="shared" si="1"/>
        <v>3621.42</v>
      </c>
    </row>
    <row r="37" spans="2:12" x14ac:dyDescent="0.3">
      <c r="C37" s="36">
        <f t="shared" si="2"/>
        <v>45165</v>
      </c>
      <c r="D37" s="773">
        <v>1402</v>
      </c>
      <c r="E37" s="773">
        <v>6</v>
      </c>
      <c r="F37" s="773">
        <v>285</v>
      </c>
      <c r="G37" s="773">
        <v>0</v>
      </c>
      <c r="H37" s="773">
        <v>125</v>
      </c>
      <c r="I37" s="773">
        <v>0</v>
      </c>
      <c r="J37" s="214">
        <f t="shared" si="0"/>
        <v>1818</v>
      </c>
      <c r="K37" s="506">
        <f t="shared" si="1"/>
        <v>3599.64</v>
      </c>
    </row>
    <row r="38" spans="2:12" x14ac:dyDescent="0.3">
      <c r="C38" s="36">
        <f t="shared" si="2"/>
        <v>45166</v>
      </c>
      <c r="D38" s="773">
        <v>1430</v>
      </c>
      <c r="E38" s="773">
        <v>6</v>
      </c>
      <c r="F38" s="773">
        <v>285</v>
      </c>
      <c r="G38" s="773">
        <v>0</v>
      </c>
      <c r="H38" s="773">
        <v>156</v>
      </c>
      <c r="I38" s="773">
        <v>110</v>
      </c>
      <c r="J38" s="214">
        <f t="shared" si="0"/>
        <v>1987</v>
      </c>
      <c r="K38" s="506">
        <f t="shared" si="1"/>
        <v>3943.06</v>
      </c>
    </row>
    <row r="39" spans="2:12" x14ac:dyDescent="0.3">
      <c r="C39" s="36">
        <f t="shared" si="2"/>
        <v>45167</v>
      </c>
      <c r="D39" s="773">
        <v>1475</v>
      </c>
      <c r="E39" s="773">
        <v>6</v>
      </c>
      <c r="F39" s="773">
        <v>291</v>
      </c>
      <c r="G39" s="773">
        <v>0</v>
      </c>
      <c r="H39" s="773">
        <v>159</v>
      </c>
      <c r="I39" s="773">
        <v>60</v>
      </c>
      <c r="J39" s="500">
        <f t="shared" si="0"/>
        <v>1991</v>
      </c>
      <c r="K39" s="506">
        <f t="shared" si="1"/>
        <v>3946.98</v>
      </c>
    </row>
    <row r="40" spans="2:12" x14ac:dyDescent="0.3">
      <c r="C40" s="36">
        <f t="shared" si="2"/>
        <v>45168</v>
      </c>
      <c r="D40" s="773">
        <v>1569</v>
      </c>
      <c r="E40" s="773">
        <v>6</v>
      </c>
      <c r="F40" s="773">
        <v>291</v>
      </c>
      <c r="G40" s="773">
        <v>0</v>
      </c>
      <c r="H40" s="773">
        <v>162</v>
      </c>
      <c r="I40" s="773">
        <v>123</v>
      </c>
      <c r="J40" s="500">
        <f t="shared" si="0"/>
        <v>2151</v>
      </c>
      <c r="K40" s="506">
        <f t="shared" si="1"/>
        <v>4268.82</v>
      </c>
    </row>
    <row r="41" spans="2:12" x14ac:dyDescent="0.3">
      <c r="C41" s="36">
        <f t="shared" si="2"/>
        <v>45169</v>
      </c>
      <c r="D41" s="778">
        <v>1588</v>
      </c>
      <c r="E41" s="778">
        <v>6</v>
      </c>
      <c r="F41" s="778">
        <v>288</v>
      </c>
      <c r="G41" s="778">
        <v>0</v>
      </c>
      <c r="H41" s="778">
        <v>147</v>
      </c>
      <c r="I41" s="778">
        <v>88</v>
      </c>
      <c r="J41" s="500">
        <f>SUM(D41:I41)</f>
        <v>2117</v>
      </c>
      <c r="K41" s="506">
        <f t="shared" si="1"/>
        <v>4198.7</v>
      </c>
    </row>
    <row r="42" spans="2:12" x14ac:dyDescent="0.3">
      <c r="C42" s="36"/>
      <c r="D42" s="192"/>
      <c r="E42" s="192"/>
      <c r="F42" s="192"/>
      <c r="G42" s="192"/>
      <c r="H42" s="192"/>
      <c r="I42" s="214"/>
      <c r="J42" s="192"/>
      <c r="K42" s="506">
        <f t="shared" ref="K42" si="3">(SUM(D42:H42)*2.209)+(I42*2.345)</f>
        <v>0</v>
      </c>
    </row>
    <row r="43" spans="2:12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2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Bulk'!K27+'Facility Requested Meals + Bulk'!K59+'Facility Requested Meals + Bulk'!K88+'Facility Requested Meals + Bulk'!K118+'Facility Requested Meals + Bulk'!K141+'Facility Requested Meals + Bulk'!K164+'Facility Requested Meals + Bulk'!K188</f>
        <v>2689.35</v>
      </c>
    </row>
    <row r="45" spans="2:12" x14ac:dyDescent="0.3">
      <c r="C45" s="36" t="s">
        <v>184</v>
      </c>
      <c r="D45" s="192"/>
      <c r="E45" s="192"/>
      <c r="F45" s="192"/>
      <c r="G45" s="192"/>
      <c r="H45" s="192"/>
      <c r="I45" s="192"/>
      <c r="J45" s="253"/>
      <c r="K45" s="168">
        <v>0</v>
      </c>
    </row>
    <row r="46" spans="2:12" x14ac:dyDescent="0.3">
      <c r="C46" s="36" t="s">
        <v>581</v>
      </c>
      <c r="D46" s="192"/>
      <c r="E46" s="192"/>
      <c r="F46" s="192"/>
      <c r="G46" s="192"/>
      <c r="H46" s="192"/>
      <c r="I46" s="192"/>
      <c r="J46" s="192"/>
      <c r="K46" s="168">
        <v>0</v>
      </c>
    </row>
    <row r="47" spans="2:12" x14ac:dyDescent="0.3">
      <c r="B47" t="s">
        <v>171</v>
      </c>
      <c r="C47" s="36" t="s">
        <v>185</v>
      </c>
      <c r="D47" s="192"/>
      <c r="E47" s="192" t="s">
        <v>556</v>
      </c>
      <c r="F47" s="192"/>
      <c r="G47" s="192"/>
      <c r="H47" s="192"/>
      <c r="I47" s="192"/>
      <c r="J47" s="192"/>
      <c r="K47" s="38">
        <f>-'August - EE Credits FY23  '!O5</f>
        <v>-10747.8</v>
      </c>
    </row>
    <row r="48" spans="2:12" x14ac:dyDescent="0.3">
      <c r="B48" t="s">
        <v>171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-'August - EE Credits FY23  '!P5</f>
        <v>329.14772182254137</v>
      </c>
    </row>
    <row r="49" spans="2:12" x14ac:dyDescent="0.3">
      <c r="B49" t="s">
        <v>171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f>-'August - EE OT'!M5</f>
        <v>0</v>
      </c>
    </row>
    <row r="50" spans="2:12" x14ac:dyDescent="0.3">
      <c r="B50" t="s">
        <v>171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Aug FY23'!CK83</f>
        <v>135.12</v>
      </c>
    </row>
    <row r="51" spans="2:12" x14ac:dyDescent="0.3">
      <c r="C51" s="36" t="s">
        <v>671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-7594.1822781774581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3">
      <c r="D56" s="215"/>
      <c r="E56" s="215"/>
      <c r="F56" s="215"/>
      <c r="G56" s="215"/>
      <c r="H56" s="215"/>
      <c r="I56" s="215"/>
      <c r="J56" s="215"/>
    </row>
    <row r="57" spans="2:12" x14ac:dyDescent="0.3">
      <c r="C57" s="42" t="s">
        <v>13</v>
      </c>
      <c r="D57" s="212">
        <f>SUM(D11:D41)</f>
        <v>46052</v>
      </c>
      <c r="E57" s="212">
        <f t="shared" ref="E57:J57" si="4">SUM(E11:E41)</f>
        <v>186</v>
      </c>
      <c r="F57" s="212">
        <f t="shared" si="4"/>
        <v>8595</v>
      </c>
      <c r="G57" s="212">
        <f t="shared" si="4"/>
        <v>0</v>
      </c>
      <c r="H57" s="212">
        <f t="shared" si="4"/>
        <v>4688</v>
      </c>
      <c r="I57" s="212">
        <f t="shared" si="4"/>
        <v>2020</v>
      </c>
      <c r="J57" s="212">
        <f t="shared" si="4"/>
        <v>61541</v>
      </c>
      <c r="K57" s="168">
        <f>(SUM(D57:H57)*1.98)+(I57*2.06)</f>
        <v>122012.78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114418.59772182255</v>
      </c>
      <c r="L59" s="41"/>
    </row>
    <row r="63" spans="2:12" x14ac:dyDescent="0.3">
      <c r="D63" s="374"/>
      <c r="E63" s="374"/>
      <c r="F63" s="374"/>
      <c r="G63" s="374"/>
      <c r="H63" s="374"/>
      <c r="I63" s="374"/>
      <c r="J63" s="374"/>
    </row>
    <row r="66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4" max="11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5:N66"/>
  <sheetViews>
    <sheetView showGridLines="0" topLeftCell="A39" zoomScale="90" zoomScaleNormal="90" workbookViewId="0">
      <selection activeCell="K47" sqref="K47"/>
    </sheetView>
  </sheetViews>
  <sheetFormatPr defaultRowHeight="14.4" x14ac:dyDescent="0.3"/>
  <cols>
    <col min="2" max="2" width="8" customWidth="1"/>
    <col min="3" max="3" width="13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153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154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>
        <v>5944</v>
      </c>
      <c r="E11" s="500">
        <v>351</v>
      </c>
      <c r="F11" s="500">
        <v>150</v>
      </c>
      <c r="G11" s="500">
        <v>0</v>
      </c>
      <c r="H11" s="500">
        <v>116</v>
      </c>
      <c r="I11" s="774">
        <v>161</v>
      </c>
      <c r="J11" s="670">
        <f>SUM(D11:I11)</f>
        <v>6722</v>
      </c>
      <c r="K11" s="506">
        <f>(SUM(D11:H11)*1.98)+(I11*2.06)</f>
        <v>13322.44</v>
      </c>
      <c r="M11" s="35"/>
      <c r="N11" s="35"/>
    </row>
    <row r="12" spans="2:14" x14ac:dyDescent="0.3">
      <c r="C12" s="36">
        <f>IF(C11+1&lt;=$C$8,C11+1,0)</f>
        <v>45140</v>
      </c>
      <c r="D12" s="500">
        <v>6153</v>
      </c>
      <c r="E12" s="500">
        <v>351</v>
      </c>
      <c r="F12" s="500">
        <v>150</v>
      </c>
      <c r="G12" s="500">
        <v>0</v>
      </c>
      <c r="H12" s="500">
        <v>118</v>
      </c>
      <c r="I12" s="773">
        <v>173</v>
      </c>
      <c r="J12" s="671">
        <f t="shared" ref="J12:J41" si="0">SUM(D12:I12)</f>
        <v>6945</v>
      </c>
      <c r="K12" s="506">
        <f t="shared" ref="K12:K41" si="1">(SUM(D12:H12)*1.98)+(I12*2.06)</f>
        <v>13764.939999999999</v>
      </c>
    </row>
    <row r="13" spans="2:14" x14ac:dyDescent="0.3">
      <c r="C13" s="36">
        <f t="shared" ref="C13:C41" si="2">IF(C12+1&lt;=$C$8,C12+1,0)</f>
        <v>45141</v>
      </c>
      <c r="D13" s="500">
        <v>5904</v>
      </c>
      <c r="E13" s="500">
        <v>345</v>
      </c>
      <c r="F13" s="500">
        <v>150</v>
      </c>
      <c r="G13" s="500">
        <v>0</v>
      </c>
      <c r="H13" s="500">
        <v>99</v>
      </c>
      <c r="I13" s="773">
        <v>157</v>
      </c>
      <c r="J13" s="671">
        <f t="shared" si="0"/>
        <v>6655</v>
      </c>
      <c r="K13" s="506">
        <f t="shared" si="1"/>
        <v>13189.46</v>
      </c>
    </row>
    <row r="14" spans="2:14" x14ac:dyDescent="0.3">
      <c r="C14" s="36">
        <f t="shared" si="2"/>
        <v>45142</v>
      </c>
      <c r="D14" s="500">
        <v>6031</v>
      </c>
      <c r="E14" s="500">
        <v>345</v>
      </c>
      <c r="F14" s="500">
        <v>147</v>
      </c>
      <c r="G14" s="500">
        <v>0</v>
      </c>
      <c r="H14" s="500">
        <v>102</v>
      </c>
      <c r="I14" s="773">
        <v>196</v>
      </c>
      <c r="J14" s="671">
        <f t="shared" si="0"/>
        <v>6821</v>
      </c>
      <c r="K14" s="506">
        <f t="shared" si="1"/>
        <v>13521.26</v>
      </c>
      <c r="L14" s="3"/>
    </row>
    <row r="15" spans="2:14" x14ac:dyDescent="0.3">
      <c r="C15" s="36">
        <f t="shared" si="2"/>
        <v>45143</v>
      </c>
      <c r="D15" s="500">
        <v>4038</v>
      </c>
      <c r="E15" s="500">
        <v>230</v>
      </c>
      <c r="F15" s="500">
        <v>150</v>
      </c>
      <c r="G15" s="500">
        <v>0</v>
      </c>
      <c r="H15" s="500">
        <v>90</v>
      </c>
      <c r="I15" s="773">
        <v>0</v>
      </c>
      <c r="J15" s="671">
        <f t="shared" si="0"/>
        <v>4508</v>
      </c>
      <c r="K15" s="506">
        <f t="shared" si="1"/>
        <v>8925.84</v>
      </c>
    </row>
    <row r="16" spans="2:14" x14ac:dyDescent="0.3">
      <c r="C16" s="36">
        <f t="shared" si="2"/>
        <v>45144</v>
      </c>
      <c r="D16" s="500">
        <v>4044</v>
      </c>
      <c r="E16" s="500">
        <v>229</v>
      </c>
      <c r="F16" s="500">
        <v>150</v>
      </c>
      <c r="G16" s="500">
        <v>0</v>
      </c>
      <c r="H16" s="500">
        <v>98</v>
      </c>
      <c r="I16" s="773">
        <v>0</v>
      </c>
      <c r="J16" s="671">
        <f t="shared" si="0"/>
        <v>4521</v>
      </c>
      <c r="K16" s="506">
        <f t="shared" si="1"/>
        <v>8951.58</v>
      </c>
    </row>
    <row r="17" spans="3:11" x14ac:dyDescent="0.3">
      <c r="C17" s="36">
        <f t="shared" si="2"/>
        <v>45145</v>
      </c>
      <c r="D17" s="500">
        <v>6150</v>
      </c>
      <c r="E17" s="500">
        <v>342</v>
      </c>
      <c r="F17" s="500">
        <v>150</v>
      </c>
      <c r="G17" s="500">
        <v>0</v>
      </c>
      <c r="H17" s="500">
        <v>127</v>
      </c>
      <c r="I17" s="773">
        <v>185</v>
      </c>
      <c r="J17" s="671">
        <f t="shared" si="0"/>
        <v>6954</v>
      </c>
      <c r="K17" s="506">
        <f t="shared" si="1"/>
        <v>13783.72</v>
      </c>
    </row>
    <row r="18" spans="3:11" x14ac:dyDescent="0.3">
      <c r="C18" s="36">
        <f t="shared" si="2"/>
        <v>45146</v>
      </c>
      <c r="D18" s="500">
        <v>6151</v>
      </c>
      <c r="E18" s="500">
        <v>339</v>
      </c>
      <c r="F18" s="500">
        <v>150</v>
      </c>
      <c r="G18" s="500">
        <v>0</v>
      </c>
      <c r="H18" s="500">
        <v>138</v>
      </c>
      <c r="I18" s="773">
        <v>140</v>
      </c>
      <c r="J18" s="671">
        <f t="shared" si="0"/>
        <v>6918</v>
      </c>
      <c r="K18" s="506">
        <f t="shared" si="1"/>
        <v>13708.84</v>
      </c>
    </row>
    <row r="19" spans="3:11" x14ac:dyDescent="0.3">
      <c r="C19" s="36">
        <f t="shared" si="2"/>
        <v>45147</v>
      </c>
      <c r="D19" s="500">
        <v>6037</v>
      </c>
      <c r="E19" s="500">
        <v>342</v>
      </c>
      <c r="F19" s="500">
        <v>150</v>
      </c>
      <c r="G19" s="500">
        <v>0</v>
      </c>
      <c r="H19" s="500">
        <v>117</v>
      </c>
      <c r="I19" s="773">
        <v>162</v>
      </c>
      <c r="J19" s="671">
        <f t="shared" si="0"/>
        <v>6808</v>
      </c>
      <c r="K19" s="506">
        <f t="shared" si="1"/>
        <v>13492.8</v>
      </c>
    </row>
    <row r="20" spans="3:11" x14ac:dyDescent="0.3">
      <c r="C20" s="36">
        <f t="shared" si="2"/>
        <v>45148</v>
      </c>
      <c r="D20" s="500">
        <v>6003</v>
      </c>
      <c r="E20" s="500">
        <v>345</v>
      </c>
      <c r="F20" s="500">
        <v>153</v>
      </c>
      <c r="G20" s="500">
        <v>0</v>
      </c>
      <c r="H20" s="500">
        <v>121</v>
      </c>
      <c r="I20" s="773">
        <v>137</v>
      </c>
      <c r="J20" s="671">
        <f t="shared" si="0"/>
        <v>6759</v>
      </c>
      <c r="K20" s="506">
        <f t="shared" si="1"/>
        <v>13393.779999999999</v>
      </c>
    </row>
    <row r="21" spans="3:11" x14ac:dyDescent="0.3">
      <c r="C21" s="36">
        <f t="shared" si="2"/>
        <v>45149</v>
      </c>
      <c r="D21" s="500">
        <v>6048</v>
      </c>
      <c r="E21" s="500">
        <v>351</v>
      </c>
      <c r="F21" s="500">
        <v>153</v>
      </c>
      <c r="G21" s="500">
        <v>0</v>
      </c>
      <c r="H21" s="500">
        <v>124</v>
      </c>
      <c r="I21" s="773">
        <v>233</v>
      </c>
      <c r="J21" s="671">
        <f t="shared" si="0"/>
        <v>6909</v>
      </c>
      <c r="K21" s="506">
        <f t="shared" si="1"/>
        <v>13698.46</v>
      </c>
    </row>
    <row r="22" spans="3:11" x14ac:dyDescent="0.3">
      <c r="C22" s="36">
        <f t="shared" si="2"/>
        <v>45150</v>
      </c>
      <c r="D22" s="500">
        <v>4062</v>
      </c>
      <c r="E22" s="500">
        <v>232</v>
      </c>
      <c r="F22" s="500">
        <v>153</v>
      </c>
      <c r="G22" s="500">
        <v>0</v>
      </c>
      <c r="H22" s="500">
        <v>91</v>
      </c>
      <c r="I22" s="773">
        <v>2</v>
      </c>
      <c r="J22" s="671">
        <f t="shared" si="0"/>
        <v>4540</v>
      </c>
      <c r="K22" s="506">
        <f t="shared" si="1"/>
        <v>8989.36</v>
      </c>
    </row>
    <row r="23" spans="3:11" x14ac:dyDescent="0.3">
      <c r="C23" s="36">
        <f t="shared" si="2"/>
        <v>45151</v>
      </c>
      <c r="D23" s="500">
        <v>4138</v>
      </c>
      <c r="E23" s="500">
        <v>234</v>
      </c>
      <c r="F23" s="500">
        <v>153</v>
      </c>
      <c r="G23" s="500">
        <v>0</v>
      </c>
      <c r="H23" s="500">
        <v>98</v>
      </c>
      <c r="I23" s="773">
        <v>0</v>
      </c>
      <c r="J23" s="671">
        <f t="shared" si="0"/>
        <v>4623</v>
      </c>
      <c r="K23" s="506">
        <f t="shared" si="1"/>
        <v>9153.5399999999991</v>
      </c>
    </row>
    <row r="24" spans="3:11" x14ac:dyDescent="0.3">
      <c r="C24" s="36">
        <f t="shared" si="2"/>
        <v>45152</v>
      </c>
      <c r="D24" s="500">
        <v>6039</v>
      </c>
      <c r="E24" s="500">
        <v>351</v>
      </c>
      <c r="F24" s="500">
        <v>153</v>
      </c>
      <c r="G24" s="500">
        <v>0</v>
      </c>
      <c r="H24" s="500">
        <v>132</v>
      </c>
      <c r="I24" s="773">
        <v>181</v>
      </c>
      <c r="J24" s="671">
        <f t="shared" si="0"/>
        <v>6856</v>
      </c>
      <c r="K24" s="506">
        <f t="shared" si="1"/>
        <v>13589.36</v>
      </c>
    </row>
    <row r="25" spans="3:11" x14ac:dyDescent="0.3">
      <c r="C25" s="36">
        <f t="shared" si="2"/>
        <v>45153</v>
      </c>
      <c r="D25" s="773">
        <v>6195</v>
      </c>
      <c r="E25" s="773">
        <v>351</v>
      </c>
      <c r="F25" s="773">
        <v>141</v>
      </c>
      <c r="G25" s="773">
        <v>0</v>
      </c>
      <c r="H25" s="773">
        <v>114</v>
      </c>
      <c r="I25" s="773">
        <v>166</v>
      </c>
      <c r="J25" s="671">
        <f t="shared" si="0"/>
        <v>6967</v>
      </c>
      <c r="K25" s="506">
        <f t="shared" si="1"/>
        <v>13807.939999999999</v>
      </c>
    </row>
    <row r="26" spans="3:11" x14ac:dyDescent="0.3">
      <c r="C26" s="36">
        <f t="shared" si="2"/>
        <v>45154</v>
      </c>
      <c r="D26" s="773">
        <v>6104</v>
      </c>
      <c r="E26" s="773">
        <v>351</v>
      </c>
      <c r="F26" s="773">
        <v>241</v>
      </c>
      <c r="G26" s="773">
        <v>0</v>
      </c>
      <c r="H26" s="773">
        <v>137</v>
      </c>
      <c r="I26" s="773">
        <v>174</v>
      </c>
      <c r="J26" s="671">
        <f t="shared" si="0"/>
        <v>7007</v>
      </c>
      <c r="K26" s="506">
        <f t="shared" si="1"/>
        <v>13887.78</v>
      </c>
    </row>
    <row r="27" spans="3:11" x14ac:dyDescent="0.3">
      <c r="C27" s="36">
        <f t="shared" si="2"/>
        <v>45155</v>
      </c>
      <c r="D27" s="773">
        <v>5970</v>
      </c>
      <c r="E27" s="773">
        <v>363</v>
      </c>
      <c r="F27" s="773">
        <v>150</v>
      </c>
      <c r="G27" s="773">
        <v>0</v>
      </c>
      <c r="H27" s="773">
        <v>122</v>
      </c>
      <c r="I27" s="773">
        <v>152</v>
      </c>
      <c r="J27" s="671">
        <f t="shared" si="0"/>
        <v>6757</v>
      </c>
      <c r="K27" s="506">
        <f t="shared" si="1"/>
        <v>13391.02</v>
      </c>
    </row>
    <row r="28" spans="3:11" x14ac:dyDescent="0.3">
      <c r="C28" s="36">
        <f t="shared" si="2"/>
        <v>45156</v>
      </c>
      <c r="D28" s="773">
        <v>6019</v>
      </c>
      <c r="E28" s="773">
        <v>363</v>
      </c>
      <c r="F28" s="773">
        <v>150</v>
      </c>
      <c r="G28" s="773">
        <v>0</v>
      </c>
      <c r="H28" s="773">
        <v>122</v>
      </c>
      <c r="I28" s="773">
        <v>188</v>
      </c>
      <c r="J28" s="671">
        <f t="shared" si="0"/>
        <v>6842</v>
      </c>
      <c r="K28" s="506">
        <f t="shared" si="1"/>
        <v>13562.2</v>
      </c>
    </row>
    <row r="29" spans="3:11" x14ac:dyDescent="0.3">
      <c r="C29" s="36">
        <f t="shared" si="2"/>
        <v>45157</v>
      </c>
      <c r="D29" s="773">
        <v>4061</v>
      </c>
      <c r="E29" s="773">
        <v>242</v>
      </c>
      <c r="F29" s="773">
        <v>150</v>
      </c>
      <c r="G29" s="773">
        <v>0</v>
      </c>
      <c r="H29" s="773">
        <v>105</v>
      </c>
      <c r="I29" s="773">
        <v>0</v>
      </c>
      <c r="J29" s="671">
        <f t="shared" si="0"/>
        <v>4558</v>
      </c>
      <c r="K29" s="506">
        <f t="shared" si="1"/>
        <v>9024.84</v>
      </c>
    </row>
    <row r="30" spans="3:11" x14ac:dyDescent="0.3">
      <c r="C30" s="36">
        <f t="shared" si="2"/>
        <v>45158</v>
      </c>
      <c r="D30" s="773">
        <v>4049</v>
      </c>
      <c r="E30" s="773">
        <v>242</v>
      </c>
      <c r="F30" s="773">
        <v>150</v>
      </c>
      <c r="G30" s="773">
        <v>0</v>
      </c>
      <c r="H30" s="773">
        <v>89</v>
      </c>
      <c r="I30" s="773">
        <v>0</v>
      </c>
      <c r="J30" s="671">
        <f t="shared" si="0"/>
        <v>4530</v>
      </c>
      <c r="K30" s="506">
        <f t="shared" si="1"/>
        <v>8969.4</v>
      </c>
    </row>
    <row r="31" spans="3:11" x14ac:dyDescent="0.3">
      <c r="C31" s="36">
        <f t="shared" si="2"/>
        <v>45159</v>
      </c>
      <c r="D31" s="773">
        <v>6019</v>
      </c>
      <c r="E31" s="773">
        <v>363</v>
      </c>
      <c r="F31" s="773">
        <v>150</v>
      </c>
      <c r="G31" s="773">
        <v>0</v>
      </c>
      <c r="H31" s="773">
        <v>134</v>
      </c>
      <c r="I31" s="773">
        <v>147</v>
      </c>
      <c r="J31" s="671">
        <f t="shared" si="0"/>
        <v>6813</v>
      </c>
      <c r="K31" s="506">
        <f t="shared" si="1"/>
        <v>13501.5</v>
      </c>
    </row>
    <row r="32" spans="3:11" x14ac:dyDescent="0.3">
      <c r="C32" s="36">
        <f t="shared" si="2"/>
        <v>45160</v>
      </c>
      <c r="D32" s="773">
        <v>5943</v>
      </c>
      <c r="E32" s="773">
        <v>363</v>
      </c>
      <c r="F32" s="773">
        <v>150</v>
      </c>
      <c r="G32" s="773">
        <v>0</v>
      </c>
      <c r="H32" s="773">
        <v>119</v>
      </c>
      <c r="I32" s="773">
        <v>146</v>
      </c>
      <c r="J32" s="671">
        <f t="shared" si="0"/>
        <v>6721</v>
      </c>
      <c r="K32" s="506">
        <f t="shared" si="1"/>
        <v>13319.26</v>
      </c>
    </row>
    <row r="33" spans="2:13" x14ac:dyDescent="0.3">
      <c r="C33" s="36">
        <f t="shared" si="2"/>
        <v>45161</v>
      </c>
      <c r="D33" s="773">
        <v>5998</v>
      </c>
      <c r="E33" s="773">
        <v>363</v>
      </c>
      <c r="F33" s="773">
        <v>150</v>
      </c>
      <c r="G33" s="773">
        <v>0</v>
      </c>
      <c r="H33" s="773">
        <v>100</v>
      </c>
      <c r="I33" s="773">
        <v>157</v>
      </c>
      <c r="J33" s="671">
        <f t="shared" si="0"/>
        <v>6768</v>
      </c>
      <c r="K33" s="506">
        <f t="shared" si="1"/>
        <v>13413.2</v>
      </c>
    </row>
    <row r="34" spans="2:13" x14ac:dyDescent="0.3">
      <c r="C34" s="36">
        <f t="shared" si="2"/>
        <v>45162</v>
      </c>
      <c r="D34" s="773">
        <v>6025</v>
      </c>
      <c r="E34" s="773">
        <v>363</v>
      </c>
      <c r="F34" s="773">
        <v>150</v>
      </c>
      <c r="G34" s="773">
        <v>0</v>
      </c>
      <c r="H34" s="773">
        <v>92</v>
      </c>
      <c r="I34" s="773">
        <v>153</v>
      </c>
      <c r="J34" s="671">
        <f t="shared" si="0"/>
        <v>6783</v>
      </c>
      <c r="K34" s="506">
        <f t="shared" si="1"/>
        <v>13442.58</v>
      </c>
    </row>
    <row r="35" spans="2:13" x14ac:dyDescent="0.3">
      <c r="C35" s="36">
        <f t="shared" si="2"/>
        <v>45163</v>
      </c>
      <c r="D35" s="773">
        <v>6074</v>
      </c>
      <c r="E35" s="773">
        <v>363</v>
      </c>
      <c r="F35" s="773">
        <v>150</v>
      </c>
      <c r="G35" s="773">
        <v>0</v>
      </c>
      <c r="H35" s="773">
        <v>124</v>
      </c>
      <c r="I35" s="773">
        <v>168</v>
      </c>
      <c r="J35" s="671">
        <f t="shared" si="0"/>
        <v>6879</v>
      </c>
      <c r="K35" s="506">
        <f t="shared" si="1"/>
        <v>13633.86</v>
      </c>
    </row>
    <row r="36" spans="2:13" x14ac:dyDescent="0.3">
      <c r="C36" s="36">
        <f t="shared" si="2"/>
        <v>45164</v>
      </c>
      <c r="D36" s="773">
        <v>3965</v>
      </c>
      <c r="E36" s="773">
        <v>242</v>
      </c>
      <c r="F36" s="773">
        <v>144</v>
      </c>
      <c r="G36" s="773">
        <v>0</v>
      </c>
      <c r="H36" s="773">
        <v>87</v>
      </c>
      <c r="I36" s="773">
        <v>34</v>
      </c>
      <c r="J36" s="671">
        <f t="shared" si="0"/>
        <v>4472</v>
      </c>
      <c r="K36" s="506">
        <f t="shared" si="1"/>
        <v>8857.2800000000007</v>
      </c>
    </row>
    <row r="37" spans="2:13" x14ac:dyDescent="0.3">
      <c r="C37" s="36">
        <f t="shared" si="2"/>
        <v>45165</v>
      </c>
      <c r="D37" s="773">
        <v>4073</v>
      </c>
      <c r="E37" s="773">
        <v>242</v>
      </c>
      <c r="F37" s="773">
        <v>144</v>
      </c>
      <c r="G37" s="773">
        <v>0</v>
      </c>
      <c r="H37" s="773">
        <v>86</v>
      </c>
      <c r="I37" s="773">
        <v>0</v>
      </c>
      <c r="J37" s="671">
        <f t="shared" si="0"/>
        <v>4545</v>
      </c>
      <c r="K37" s="506">
        <f t="shared" si="1"/>
        <v>8999.1</v>
      </c>
    </row>
    <row r="38" spans="2:13" x14ac:dyDescent="0.3">
      <c r="C38" s="36">
        <f t="shared" si="2"/>
        <v>45166</v>
      </c>
      <c r="D38" s="773">
        <v>5974</v>
      </c>
      <c r="E38" s="773">
        <v>363</v>
      </c>
      <c r="F38" s="773">
        <v>144</v>
      </c>
      <c r="G38" s="773">
        <v>0</v>
      </c>
      <c r="H38" s="773">
        <v>86</v>
      </c>
      <c r="I38" s="773">
        <v>143</v>
      </c>
      <c r="J38" s="671">
        <f t="shared" si="0"/>
        <v>6710</v>
      </c>
      <c r="K38" s="506">
        <f t="shared" si="1"/>
        <v>13297.24</v>
      </c>
    </row>
    <row r="39" spans="2:13" x14ac:dyDescent="0.3">
      <c r="C39" s="36">
        <f t="shared" si="2"/>
        <v>45167</v>
      </c>
      <c r="D39" s="773">
        <v>5972</v>
      </c>
      <c r="E39" s="773">
        <v>363</v>
      </c>
      <c r="F39" s="773">
        <v>144</v>
      </c>
      <c r="G39" s="773">
        <v>0</v>
      </c>
      <c r="H39" s="773">
        <v>111</v>
      </c>
      <c r="I39" s="773">
        <v>156</v>
      </c>
      <c r="J39" s="671">
        <f t="shared" si="0"/>
        <v>6746</v>
      </c>
      <c r="K39" s="506">
        <f t="shared" si="1"/>
        <v>13369.560000000001</v>
      </c>
    </row>
    <row r="40" spans="2:13" x14ac:dyDescent="0.3">
      <c r="C40" s="36">
        <f t="shared" si="2"/>
        <v>45168</v>
      </c>
      <c r="D40" s="773">
        <v>5908</v>
      </c>
      <c r="E40" s="773">
        <v>363</v>
      </c>
      <c r="F40" s="773">
        <v>144</v>
      </c>
      <c r="G40" s="773">
        <v>0</v>
      </c>
      <c r="H40" s="773">
        <v>106</v>
      </c>
      <c r="I40" s="773">
        <v>139</v>
      </c>
      <c r="J40" s="671">
        <f t="shared" si="0"/>
        <v>6660</v>
      </c>
      <c r="K40" s="506">
        <f t="shared" si="1"/>
        <v>13197.92</v>
      </c>
    </row>
    <row r="41" spans="2:13" x14ac:dyDescent="0.3">
      <c r="C41" s="36">
        <f t="shared" si="2"/>
        <v>45169</v>
      </c>
      <c r="D41" s="778">
        <v>6141</v>
      </c>
      <c r="E41" s="778">
        <v>360</v>
      </c>
      <c r="F41" s="778">
        <v>135</v>
      </c>
      <c r="G41" s="778">
        <v>0</v>
      </c>
      <c r="H41" s="778">
        <v>106</v>
      </c>
      <c r="I41" s="778">
        <v>168</v>
      </c>
      <c r="J41" s="671">
        <f t="shared" si="0"/>
        <v>6910</v>
      </c>
      <c r="K41" s="506">
        <f t="shared" si="1"/>
        <v>13695.24</v>
      </c>
      <c r="M41" s="233"/>
    </row>
    <row r="42" spans="2:13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3" x14ac:dyDescent="0.3">
      <c r="C43" s="191" t="s">
        <v>186</v>
      </c>
      <c r="D43" s="192"/>
      <c r="E43" s="192"/>
      <c r="F43" s="192"/>
      <c r="G43" s="192"/>
      <c r="H43" s="214"/>
      <c r="I43" s="192"/>
      <c r="J43" s="192"/>
      <c r="K43" s="38"/>
    </row>
    <row r="44" spans="2:13" x14ac:dyDescent="0.3">
      <c r="C44" s="36" t="s">
        <v>197</v>
      </c>
      <c r="D44" s="192"/>
      <c r="E44" s="192"/>
      <c r="F44" s="192"/>
      <c r="G44" s="192"/>
      <c r="H44" s="214"/>
      <c r="I44" s="192"/>
      <c r="J44" s="192"/>
      <c r="K44" s="545">
        <f>'Facility Requested Meals + Bulk'!BG10+'Facility Requested Meals + Bulk'!BG33+'Facility Requested Meals + Bulk'!BG44+'Facility Requested Meals + Bulk'!BG55+'Facility Requested Meals + Bulk'!BG67</f>
        <v>24.66</v>
      </c>
    </row>
    <row r="45" spans="2:13" x14ac:dyDescent="0.3">
      <c r="C45" s="36" t="s">
        <v>556</v>
      </c>
      <c r="D45" s="192"/>
      <c r="E45" s="192"/>
      <c r="F45" s="192"/>
      <c r="G45" s="192"/>
      <c r="H45" s="214"/>
      <c r="I45" s="192"/>
      <c r="J45" s="192"/>
      <c r="K45" s="853">
        <v>0</v>
      </c>
    </row>
    <row r="46" spans="2:13" x14ac:dyDescent="0.3">
      <c r="C46" s="36" t="s">
        <v>581</v>
      </c>
      <c r="D46" s="192"/>
      <c r="E46" s="192" t="s">
        <v>556</v>
      </c>
      <c r="F46" s="192"/>
      <c r="G46" s="192"/>
      <c r="H46" s="214"/>
      <c r="I46" s="192"/>
      <c r="J46" s="192"/>
      <c r="K46" s="251">
        <v>-10557.2</v>
      </c>
    </row>
    <row r="47" spans="2:13" x14ac:dyDescent="0.3">
      <c r="B47" t="s">
        <v>172</v>
      </c>
      <c r="C47" s="36" t="s">
        <v>185</v>
      </c>
      <c r="D47" s="192"/>
      <c r="E47" s="192"/>
      <c r="F47" s="192"/>
      <c r="G47" s="192"/>
      <c r="H47" s="214"/>
      <c r="I47" s="192"/>
      <c r="J47" s="192"/>
      <c r="K47" s="251" t="s">
        <v>642</v>
      </c>
    </row>
    <row r="48" spans="2:13" x14ac:dyDescent="0.3">
      <c r="B48" t="s">
        <v>172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-'August - EE Credits FY23  '!P7</f>
        <v>0</v>
      </c>
    </row>
    <row r="49" spans="2:12" x14ac:dyDescent="0.3">
      <c r="B49" t="s">
        <v>172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3">
      <c r="B50" t="s">
        <v>172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38">
        <f>'State to ARA Charge Aug FY23'!CK85</f>
        <v>112.2</v>
      </c>
    </row>
    <row r="51" spans="2:12" x14ac:dyDescent="0.3">
      <c r="C51" s="36" t="s">
        <v>710</v>
      </c>
      <c r="D51" s="192"/>
      <c r="E51" s="192"/>
      <c r="F51" s="192"/>
      <c r="G51" s="192"/>
      <c r="H51" s="214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14"/>
      <c r="I52" s="209"/>
      <c r="J52" s="209"/>
      <c r="K52" s="649">
        <f>'Inv Usage Credits'!K73*-1</f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-10420.34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3">
      <c r="D56" s="215"/>
      <c r="E56" s="215"/>
      <c r="F56" s="215"/>
      <c r="G56" s="215"/>
      <c r="H56" s="215"/>
      <c r="I56" s="215"/>
      <c r="J56" s="215"/>
    </row>
    <row r="57" spans="2:12" x14ac:dyDescent="0.3">
      <c r="C57" s="42" t="s">
        <v>13</v>
      </c>
      <c r="D57" s="212">
        <f>SUM(D11:D41)</f>
        <v>171232</v>
      </c>
      <c r="E57" s="212">
        <f t="shared" ref="E57:J57" si="4">SUM(E11:E41)</f>
        <v>10047</v>
      </c>
      <c r="F57" s="212">
        <f t="shared" si="4"/>
        <v>4699</v>
      </c>
      <c r="G57" s="212">
        <f t="shared" si="4"/>
        <v>0</v>
      </c>
      <c r="H57" s="212">
        <f t="shared" si="4"/>
        <v>3411</v>
      </c>
      <c r="I57" s="212">
        <f t="shared" si="4"/>
        <v>3818</v>
      </c>
      <c r="J57" s="212">
        <f t="shared" si="4"/>
        <v>193207</v>
      </c>
      <c r="K57" s="168">
        <f>(SUM(D57:H57)*1.98)+(I57*2.06)</f>
        <v>382855.3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372434.95999999996</v>
      </c>
      <c r="L59" s="41"/>
    </row>
    <row r="66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4" max="11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5:N67"/>
  <sheetViews>
    <sheetView showGridLines="0" topLeftCell="A38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2.109375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  <col min="13" max="13" width="10.44140625" bestFit="1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510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155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>
        <v>4186</v>
      </c>
      <c r="E11" s="500">
        <v>264</v>
      </c>
      <c r="F11" s="500">
        <v>228</v>
      </c>
      <c r="G11" s="500">
        <v>0</v>
      </c>
      <c r="H11" s="500">
        <v>0</v>
      </c>
      <c r="I11" s="774">
        <v>57</v>
      </c>
      <c r="J11" s="213">
        <f t="shared" ref="J11:J40" si="0">SUM(D11:I11)</f>
        <v>4735</v>
      </c>
      <c r="K11" s="506">
        <f>(SUM(D11:H11)*1.98)+(I11*2.06)</f>
        <v>9379.86</v>
      </c>
      <c r="M11" s="267"/>
      <c r="N11" s="35"/>
    </row>
    <row r="12" spans="2:14" x14ac:dyDescent="0.3">
      <c r="C12" s="36">
        <f>IF(C11+1&lt;=$C$8,C11+1,0)</f>
        <v>45140</v>
      </c>
      <c r="D12" s="500">
        <v>4204</v>
      </c>
      <c r="E12" s="500">
        <v>264</v>
      </c>
      <c r="F12" s="500">
        <v>228</v>
      </c>
      <c r="G12" s="500">
        <v>0</v>
      </c>
      <c r="H12" s="500">
        <v>0</v>
      </c>
      <c r="I12" s="773">
        <v>57</v>
      </c>
      <c r="J12" s="214">
        <f t="shared" si="0"/>
        <v>4753</v>
      </c>
      <c r="K12" s="506">
        <f t="shared" ref="K12:K41" si="1">(SUM(D12:H12)*1.98)+(I12*2.06)</f>
        <v>9415.5</v>
      </c>
      <c r="M12" s="267"/>
    </row>
    <row r="13" spans="2:14" x14ac:dyDescent="0.3">
      <c r="C13" s="36">
        <f t="shared" ref="C13:C41" si="2">IF(C12+1&lt;=$C$8,C12+1,0)</f>
        <v>45141</v>
      </c>
      <c r="D13" s="500">
        <v>3785</v>
      </c>
      <c r="E13" s="500">
        <v>267</v>
      </c>
      <c r="F13" s="500">
        <v>219</v>
      </c>
      <c r="G13" s="500">
        <v>0</v>
      </c>
      <c r="H13" s="500">
        <v>24</v>
      </c>
      <c r="I13" s="773">
        <v>57</v>
      </c>
      <c r="J13" s="214">
        <f t="shared" si="0"/>
        <v>4352</v>
      </c>
      <c r="K13" s="506">
        <f t="shared" si="1"/>
        <v>8621.52</v>
      </c>
      <c r="M13" s="267"/>
    </row>
    <row r="14" spans="2:14" x14ac:dyDescent="0.3">
      <c r="C14" s="36">
        <f t="shared" si="2"/>
        <v>45142</v>
      </c>
      <c r="D14" s="500">
        <v>3958</v>
      </c>
      <c r="E14" s="500">
        <v>264</v>
      </c>
      <c r="F14" s="500">
        <v>228</v>
      </c>
      <c r="G14" s="500">
        <v>0</v>
      </c>
      <c r="H14" s="500">
        <v>28</v>
      </c>
      <c r="I14" s="773">
        <v>57</v>
      </c>
      <c r="J14" s="214">
        <f t="shared" si="0"/>
        <v>4535</v>
      </c>
      <c r="K14" s="506">
        <f t="shared" si="1"/>
        <v>8983.86</v>
      </c>
      <c r="L14" s="3"/>
      <c r="M14" s="267"/>
    </row>
    <row r="15" spans="2:14" x14ac:dyDescent="0.3">
      <c r="C15" s="36">
        <f t="shared" si="2"/>
        <v>45143</v>
      </c>
      <c r="D15" s="500">
        <v>2363</v>
      </c>
      <c r="E15" s="500">
        <v>176</v>
      </c>
      <c r="F15" s="500">
        <v>225</v>
      </c>
      <c r="G15" s="500">
        <v>0</v>
      </c>
      <c r="H15" s="500">
        <v>9</v>
      </c>
      <c r="I15" s="773">
        <v>0</v>
      </c>
      <c r="J15" s="214">
        <f t="shared" si="0"/>
        <v>2773</v>
      </c>
      <c r="K15" s="506">
        <f t="shared" si="1"/>
        <v>5490.54</v>
      </c>
      <c r="M15" s="267"/>
    </row>
    <row r="16" spans="2:14" x14ac:dyDescent="0.3">
      <c r="C16" s="36">
        <f t="shared" si="2"/>
        <v>45144</v>
      </c>
      <c r="D16" s="500">
        <v>2415</v>
      </c>
      <c r="E16" s="500">
        <v>176</v>
      </c>
      <c r="F16" s="500">
        <v>225</v>
      </c>
      <c r="G16" s="500">
        <v>0</v>
      </c>
      <c r="H16" s="500">
        <v>0</v>
      </c>
      <c r="I16" s="773">
        <v>0</v>
      </c>
      <c r="J16" s="214">
        <f t="shared" si="0"/>
        <v>2816</v>
      </c>
      <c r="K16" s="506">
        <f t="shared" si="1"/>
        <v>5575.68</v>
      </c>
      <c r="M16" s="267"/>
    </row>
    <row r="17" spans="3:14" x14ac:dyDescent="0.3">
      <c r="C17" s="36">
        <f t="shared" si="2"/>
        <v>45145</v>
      </c>
      <c r="D17" s="500">
        <v>4017</v>
      </c>
      <c r="E17" s="500">
        <v>264</v>
      </c>
      <c r="F17" s="500">
        <v>222</v>
      </c>
      <c r="G17" s="500">
        <v>0</v>
      </c>
      <c r="H17" s="500">
        <v>42</v>
      </c>
      <c r="I17" s="773">
        <v>57</v>
      </c>
      <c r="J17" s="214">
        <f t="shared" si="0"/>
        <v>4602</v>
      </c>
      <c r="K17" s="506">
        <f t="shared" si="1"/>
        <v>9116.52</v>
      </c>
      <c r="M17" s="267"/>
    </row>
    <row r="18" spans="3:14" x14ac:dyDescent="0.3">
      <c r="C18" s="36">
        <f t="shared" si="2"/>
        <v>45146</v>
      </c>
      <c r="D18" s="500">
        <v>4061</v>
      </c>
      <c r="E18" s="500">
        <v>261</v>
      </c>
      <c r="F18" s="500">
        <v>225</v>
      </c>
      <c r="G18" s="500">
        <v>0</v>
      </c>
      <c r="H18" s="500">
        <v>0</v>
      </c>
      <c r="I18" s="773">
        <v>57</v>
      </c>
      <c r="J18" s="214">
        <f t="shared" si="0"/>
        <v>4604</v>
      </c>
      <c r="K18" s="506">
        <f t="shared" si="1"/>
        <v>9120.48</v>
      </c>
      <c r="L18" s="233"/>
      <c r="M18" s="371"/>
      <c r="N18" s="233"/>
    </row>
    <row r="19" spans="3:14" x14ac:dyDescent="0.3">
      <c r="C19" s="36">
        <f t="shared" si="2"/>
        <v>45147</v>
      </c>
      <c r="D19" s="500">
        <v>3839</v>
      </c>
      <c r="E19" s="500">
        <v>262</v>
      </c>
      <c r="F19" s="500">
        <v>225</v>
      </c>
      <c r="G19" s="500">
        <v>0</v>
      </c>
      <c r="H19" s="500">
        <v>0</v>
      </c>
      <c r="I19" s="773">
        <v>57</v>
      </c>
      <c r="J19" s="214">
        <f t="shared" si="0"/>
        <v>4383</v>
      </c>
      <c r="K19" s="506">
        <f t="shared" si="1"/>
        <v>8682.9</v>
      </c>
      <c r="L19" s="233"/>
      <c r="M19" s="371"/>
      <c r="N19" s="233"/>
    </row>
    <row r="20" spans="3:14" x14ac:dyDescent="0.3">
      <c r="C20" s="36">
        <f t="shared" si="2"/>
        <v>45148</v>
      </c>
      <c r="D20" s="500">
        <v>3681</v>
      </c>
      <c r="E20" s="500">
        <v>258</v>
      </c>
      <c r="F20" s="500">
        <v>228</v>
      </c>
      <c r="G20" s="500">
        <v>0</v>
      </c>
      <c r="H20" s="500">
        <v>0</v>
      </c>
      <c r="I20" s="773">
        <v>57</v>
      </c>
      <c r="J20" s="214">
        <f t="shared" si="0"/>
        <v>4224</v>
      </c>
      <c r="K20" s="506">
        <f t="shared" si="1"/>
        <v>8368.08</v>
      </c>
      <c r="L20" s="233"/>
      <c r="M20" s="371"/>
      <c r="N20" s="233"/>
    </row>
    <row r="21" spans="3:14" x14ac:dyDescent="0.3">
      <c r="C21" s="36">
        <f t="shared" si="2"/>
        <v>45149</v>
      </c>
      <c r="D21" s="500">
        <v>3913</v>
      </c>
      <c r="E21" s="500">
        <v>252</v>
      </c>
      <c r="F21" s="500">
        <v>231</v>
      </c>
      <c r="G21" s="500">
        <v>0</v>
      </c>
      <c r="H21" s="500">
        <v>34</v>
      </c>
      <c r="I21" s="773">
        <v>57</v>
      </c>
      <c r="J21" s="214">
        <f t="shared" si="0"/>
        <v>4487</v>
      </c>
      <c r="K21" s="506">
        <f t="shared" si="1"/>
        <v>8888.82</v>
      </c>
      <c r="L21" s="233"/>
      <c r="M21" s="371"/>
      <c r="N21" s="233"/>
    </row>
    <row r="22" spans="3:14" x14ac:dyDescent="0.3">
      <c r="C22" s="36">
        <f t="shared" si="2"/>
        <v>45150</v>
      </c>
      <c r="D22" s="500">
        <v>2319</v>
      </c>
      <c r="E22" s="500">
        <v>168</v>
      </c>
      <c r="F22" s="500">
        <v>231</v>
      </c>
      <c r="G22" s="500">
        <v>0</v>
      </c>
      <c r="H22" s="500">
        <v>2</v>
      </c>
      <c r="I22" s="773">
        <v>0</v>
      </c>
      <c r="J22" s="214">
        <f t="shared" si="0"/>
        <v>2720</v>
      </c>
      <c r="K22" s="506">
        <f t="shared" si="1"/>
        <v>5385.6</v>
      </c>
      <c r="L22" s="233"/>
      <c r="M22" s="371"/>
      <c r="N22" s="233"/>
    </row>
    <row r="23" spans="3:14" x14ac:dyDescent="0.3">
      <c r="C23" s="36">
        <f t="shared" si="2"/>
        <v>45151</v>
      </c>
      <c r="D23" s="500">
        <v>2452</v>
      </c>
      <c r="E23" s="500">
        <v>168</v>
      </c>
      <c r="F23" s="500">
        <v>231</v>
      </c>
      <c r="G23" s="500">
        <v>0</v>
      </c>
      <c r="H23" s="500">
        <v>6</v>
      </c>
      <c r="I23" s="773">
        <v>0</v>
      </c>
      <c r="J23" s="214">
        <f t="shared" si="0"/>
        <v>2857</v>
      </c>
      <c r="K23" s="506">
        <f t="shared" si="1"/>
        <v>5656.86</v>
      </c>
      <c r="L23" s="233"/>
      <c r="M23" s="371"/>
      <c r="N23" s="233"/>
    </row>
    <row r="24" spans="3:14" x14ac:dyDescent="0.3">
      <c r="C24" s="36">
        <f t="shared" si="2"/>
        <v>45152</v>
      </c>
      <c r="D24" s="500">
        <v>3748</v>
      </c>
      <c r="E24" s="500">
        <v>246</v>
      </c>
      <c r="F24" s="500">
        <v>234</v>
      </c>
      <c r="G24" s="500">
        <v>0</v>
      </c>
      <c r="H24" s="500">
        <v>2</v>
      </c>
      <c r="I24" s="773">
        <v>57</v>
      </c>
      <c r="J24" s="214">
        <f t="shared" si="0"/>
        <v>4287</v>
      </c>
      <c r="K24" s="506">
        <f t="shared" si="1"/>
        <v>8492.82</v>
      </c>
      <c r="L24" s="233"/>
      <c r="M24" s="371"/>
      <c r="N24" s="233"/>
    </row>
    <row r="25" spans="3:14" x14ac:dyDescent="0.3">
      <c r="C25" s="36">
        <f t="shared" si="2"/>
        <v>45153</v>
      </c>
      <c r="D25" s="773">
        <v>4060</v>
      </c>
      <c r="E25" s="773">
        <v>252</v>
      </c>
      <c r="F25" s="773">
        <v>231</v>
      </c>
      <c r="G25" s="773">
        <v>0</v>
      </c>
      <c r="H25" s="773">
        <v>25</v>
      </c>
      <c r="I25" s="773">
        <v>57</v>
      </c>
      <c r="J25" s="214">
        <f t="shared" si="0"/>
        <v>4625</v>
      </c>
      <c r="K25" s="506">
        <f t="shared" si="1"/>
        <v>9162.06</v>
      </c>
      <c r="L25" s="233"/>
      <c r="M25" s="371"/>
      <c r="N25" s="233"/>
    </row>
    <row r="26" spans="3:14" x14ac:dyDescent="0.3">
      <c r="C26" s="36">
        <f t="shared" si="2"/>
        <v>45154</v>
      </c>
      <c r="D26" s="773">
        <v>3923</v>
      </c>
      <c r="E26" s="773">
        <v>252</v>
      </c>
      <c r="F26" s="773">
        <v>219</v>
      </c>
      <c r="G26" s="773">
        <v>0</v>
      </c>
      <c r="H26" s="773">
        <v>12</v>
      </c>
      <c r="I26" s="773">
        <v>66</v>
      </c>
      <c r="J26" s="214">
        <f t="shared" si="0"/>
        <v>4472</v>
      </c>
      <c r="K26" s="506">
        <f t="shared" si="1"/>
        <v>8859.8399999999983</v>
      </c>
      <c r="L26" s="233"/>
      <c r="M26" s="371"/>
      <c r="N26" s="233"/>
    </row>
    <row r="27" spans="3:14" x14ac:dyDescent="0.3">
      <c r="C27" s="36">
        <f t="shared" si="2"/>
        <v>45155</v>
      </c>
      <c r="D27" s="773">
        <v>3730</v>
      </c>
      <c r="E27" s="773">
        <v>252</v>
      </c>
      <c r="F27" s="773">
        <v>225</v>
      </c>
      <c r="G27" s="773">
        <v>0</v>
      </c>
      <c r="H27" s="773">
        <v>1</v>
      </c>
      <c r="I27" s="773">
        <v>57</v>
      </c>
      <c r="J27" s="214">
        <f t="shared" si="0"/>
        <v>4265</v>
      </c>
      <c r="K27" s="506">
        <f t="shared" si="1"/>
        <v>8449.26</v>
      </c>
      <c r="L27" s="233"/>
      <c r="M27" s="371"/>
      <c r="N27" s="233"/>
    </row>
    <row r="28" spans="3:14" x14ac:dyDescent="0.3">
      <c r="C28" s="36">
        <f t="shared" si="2"/>
        <v>45156</v>
      </c>
      <c r="D28" s="773">
        <v>3812</v>
      </c>
      <c r="E28" s="773">
        <v>252</v>
      </c>
      <c r="F28" s="773">
        <v>219</v>
      </c>
      <c r="G28" s="773">
        <v>0</v>
      </c>
      <c r="H28" s="773">
        <v>32</v>
      </c>
      <c r="I28" s="773">
        <v>57</v>
      </c>
      <c r="J28" s="214">
        <f t="shared" si="0"/>
        <v>4372</v>
      </c>
      <c r="K28" s="506">
        <f t="shared" si="1"/>
        <v>8661.1200000000008</v>
      </c>
      <c r="L28" s="233"/>
      <c r="M28" s="371"/>
      <c r="N28" s="233"/>
    </row>
    <row r="29" spans="3:14" x14ac:dyDescent="0.3">
      <c r="C29" s="36">
        <f t="shared" si="2"/>
        <v>45157</v>
      </c>
      <c r="D29" s="773">
        <v>2489</v>
      </c>
      <c r="E29" s="773">
        <v>168</v>
      </c>
      <c r="F29" s="773">
        <v>219</v>
      </c>
      <c r="G29" s="773">
        <v>0</v>
      </c>
      <c r="H29" s="773">
        <v>5</v>
      </c>
      <c r="I29" s="773">
        <v>0</v>
      </c>
      <c r="J29" s="214">
        <f t="shared" si="0"/>
        <v>2881</v>
      </c>
      <c r="K29" s="506">
        <f t="shared" si="1"/>
        <v>5704.38</v>
      </c>
      <c r="L29" s="233"/>
      <c r="M29" s="371"/>
      <c r="N29" s="233"/>
    </row>
    <row r="30" spans="3:14" x14ac:dyDescent="0.3">
      <c r="C30" s="36">
        <f t="shared" si="2"/>
        <v>45158</v>
      </c>
      <c r="D30" s="773">
        <v>2407</v>
      </c>
      <c r="E30" s="773">
        <v>168</v>
      </c>
      <c r="F30" s="773">
        <v>219</v>
      </c>
      <c r="G30" s="773">
        <v>0</v>
      </c>
      <c r="H30" s="773">
        <v>8</v>
      </c>
      <c r="I30" s="773">
        <v>0</v>
      </c>
      <c r="J30" s="214">
        <f t="shared" si="0"/>
        <v>2802</v>
      </c>
      <c r="K30" s="506">
        <f t="shared" si="1"/>
        <v>5547.96</v>
      </c>
      <c r="L30" s="233"/>
      <c r="M30" s="371"/>
      <c r="N30" s="233"/>
    </row>
    <row r="31" spans="3:14" x14ac:dyDescent="0.3">
      <c r="C31" s="36">
        <f t="shared" si="2"/>
        <v>45159</v>
      </c>
      <c r="D31" s="773">
        <v>3735</v>
      </c>
      <c r="E31" s="773">
        <v>252</v>
      </c>
      <c r="F31" s="773">
        <v>219</v>
      </c>
      <c r="G31" s="773">
        <v>0</v>
      </c>
      <c r="H31" s="773">
        <v>39</v>
      </c>
      <c r="I31" s="773">
        <v>57</v>
      </c>
      <c r="J31" s="214">
        <f t="shared" si="0"/>
        <v>4302</v>
      </c>
      <c r="K31" s="506">
        <f t="shared" si="1"/>
        <v>8522.52</v>
      </c>
      <c r="L31" s="233"/>
      <c r="M31" s="371"/>
      <c r="N31" s="233"/>
    </row>
    <row r="32" spans="3:14" x14ac:dyDescent="0.3">
      <c r="C32" s="36">
        <f t="shared" si="2"/>
        <v>45160</v>
      </c>
      <c r="D32" s="773">
        <v>3857</v>
      </c>
      <c r="E32" s="773">
        <v>252</v>
      </c>
      <c r="F32" s="773">
        <v>228</v>
      </c>
      <c r="G32" s="773">
        <v>0</v>
      </c>
      <c r="H32" s="773">
        <v>10</v>
      </c>
      <c r="I32" s="773">
        <v>57</v>
      </c>
      <c r="J32" s="214">
        <f t="shared" si="0"/>
        <v>4404</v>
      </c>
      <c r="K32" s="506">
        <f t="shared" si="1"/>
        <v>8724.48</v>
      </c>
      <c r="L32" s="233"/>
      <c r="M32" s="371"/>
      <c r="N32" s="233"/>
    </row>
    <row r="33" spans="2:14" x14ac:dyDescent="0.3">
      <c r="C33" s="36">
        <f t="shared" si="2"/>
        <v>45161</v>
      </c>
      <c r="D33" s="773">
        <v>3949</v>
      </c>
      <c r="E33" s="773">
        <v>243</v>
      </c>
      <c r="F33" s="773">
        <v>228</v>
      </c>
      <c r="G33" s="773">
        <v>0</v>
      </c>
      <c r="H33" s="773">
        <v>11</v>
      </c>
      <c r="I33" s="773">
        <v>66</v>
      </c>
      <c r="J33" s="214">
        <f t="shared" si="0"/>
        <v>4497</v>
      </c>
      <c r="K33" s="506">
        <f t="shared" si="1"/>
        <v>8909.3399999999983</v>
      </c>
      <c r="L33" s="233"/>
      <c r="M33" s="371"/>
      <c r="N33" s="233"/>
    </row>
    <row r="34" spans="2:14" x14ac:dyDescent="0.3">
      <c r="C34" s="36">
        <f t="shared" si="2"/>
        <v>45162</v>
      </c>
      <c r="D34" s="773">
        <v>3559</v>
      </c>
      <c r="E34" s="773">
        <v>246</v>
      </c>
      <c r="F34" s="773">
        <v>234</v>
      </c>
      <c r="G34" s="773">
        <v>0</v>
      </c>
      <c r="H34" s="773">
        <v>2</v>
      </c>
      <c r="I34" s="773">
        <v>56</v>
      </c>
      <c r="J34" s="214">
        <f t="shared" si="0"/>
        <v>4097</v>
      </c>
      <c r="K34" s="506">
        <f t="shared" si="1"/>
        <v>8116.54</v>
      </c>
      <c r="L34" s="233"/>
      <c r="M34" s="371"/>
      <c r="N34" s="233"/>
    </row>
    <row r="35" spans="2:14" x14ac:dyDescent="0.3">
      <c r="C35" s="36">
        <f t="shared" si="2"/>
        <v>45163</v>
      </c>
      <c r="D35" s="773">
        <v>4111</v>
      </c>
      <c r="E35" s="773">
        <v>252</v>
      </c>
      <c r="F35" s="773">
        <v>234</v>
      </c>
      <c r="G35" s="773">
        <v>0</v>
      </c>
      <c r="H35" s="773">
        <v>10</v>
      </c>
      <c r="I35" s="773">
        <v>56</v>
      </c>
      <c r="J35" s="214">
        <f t="shared" si="0"/>
        <v>4663</v>
      </c>
      <c r="K35" s="506">
        <f t="shared" si="1"/>
        <v>9237.2200000000012</v>
      </c>
      <c r="L35" s="450"/>
      <c r="M35" s="371"/>
      <c r="N35" s="233"/>
    </row>
    <row r="36" spans="2:14" x14ac:dyDescent="0.3">
      <c r="C36" s="36">
        <f t="shared" si="2"/>
        <v>45164</v>
      </c>
      <c r="D36" s="773">
        <v>2307</v>
      </c>
      <c r="E36" s="773">
        <v>170</v>
      </c>
      <c r="F36" s="773">
        <v>234</v>
      </c>
      <c r="G36" s="773">
        <v>0</v>
      </c>
      <c r="H36" s="773">
        <v>1</v>
      </c>
      <c r="I36" s="773">
        <v>0</v>
      </c>
      <c r="J36" s="214">
        <f t="shared" si="0"/>
        <v>2712</v>
      </c>
      <c r="K36" s="506">
        <f t="shared" si="1"/>
        <v>5369.76</v>
      </c>
      <c r="L36" s="233"/>
      <c r="M36" s="371"/>
      <c r="N36" s="233"/>
    </row>
    <row r="37" spans="2:14" x14ac:dyDescent="0.3">
      <c r="C37" s="36">
        <f t="shared" si="2"/>
        <v>45165</v>
      </c>
      <c r="D37" s="773">
        <v>2492</v>
      </c>
      <c r="E37" s="773">
        <v>170</v>
      </c>
      <c r="F37" s="773">
        <v>234</v>
      </c>
      <c r="G37" s="773">
        <v>0</v>
      </c>
      <c r="H37" s="773">
        <v>14</v>
      </c>
      <c r="I37" s="773">
        <v>0</v>
      </c>
      <c r="J37" s="214">
        <f t="shared" si="0"/>
        <v>2910</v>
      </c>
      <c r="K37" s="506">
        <f t="shared" si="1"/>
        <v>5761.8</v>
      </c>
      <c r="L37" s="233"/>
      <c r="M37" s="371"/>
      <c r="N37" s="233"/>
    </row>
    <row r="38" spans="2:14" x14ac:dyDescent="0.3">
      <c r="C38" s="36">
        <f t="shared" si="2"/>
        <v>45166</v>
      </c>
      <c r="D38" s="773">
        <v>3854</v>
      </c>
      <c r="E38" s="773">
        <v>253</v>
      </c>
      <c r="F38" s="773">
        <v>231</v>
      </c>
      <c r="G38" s="773">
        <v>0</v>
      </c>
      <c r="H38" s="773">
        <v>1</v>
      </c>
      <c r="I38" s="773">
        <v>61</v>
      </c>
      <c r="J38" s="214">
        <f t="shared" si="0"/>
        <v>4400</v>
      </c>
      <c r="K38" s="506">
        <f t="shared" si="1"/>
        <v>8716.8799999999992</v>
      </c>
      <c r="L38" s="233"/>
      <c r="M38" s="371"/>
      <c r="N38" s="233"/>
    </row>
    <row r="39" spans="2:14" x14ac:dyDescent="0.3">
      <c r="C39" s="36">
        <f t="shared" si="2"/>
        <v>45167</v>
      </c>
      <c r="D39" s="773">
        <v>4054</v>
      </c>
      <c r="E39" s="773">
        <v>249</v>
      </c>
      <c r="F39" s="773">
        <v>234</v>
      </c>
      <c r="G39" s="773">
        <v>0</v>
      </c>
      <c r="H39" s="773">
        <v>15</v>
      </c>
      <c r="I39" s="773">
        <v>57</v>
      </c>
      <c r="J39" s="500">
        <f t="shared" si="0"/>
        <v>4609</v>
      </c>
      <c r="K39" s="506">
        <f t="shared" si="1"/>
        <v>9130.3799999999992</v>
      </c>
      <c r="L39" s="233"/>
      <c r="M39" s="371"/>
      <c r="N39" s="233"/>
    </row>
    <row r="40" spans="2:14" x14ac:dyDescent="0.3">
      <c r="C40" s="36">
        <f t="shared" si="2"/>
        <v>45168</v>
      </c>
      <c r="D40" s="773">
        <v>4292</v>
      </c>
      <c r="E40" s="773">
        <v>240</v>
      </c>
      <c r="F40" s="773">
        <v>234</v>
      </c>
      <c r="G40" s="773">
        <v>0</v>
      </c>
      <c r="H40" s="773">
        <v>24</v>
      </c>
      <c r="I40" s="773">
        <v>57</v>
      </c>
      <c r="J40" s="500">
        <f t="shared" si="0"/>
        <v>4847</v>
      </c>
      <c r="K40" s="506">
        <f t="shared" si="1"/>
        <v>9601.6200000000008</v>
      </c>
      <c r="L40" s="450"/>
      <c r="M40" s="371"/>
      <c r="N40" s="233"/>
    </row>
    <row r="41" spans="2:14" x14ac:dyDescent="0.3">
      <c r="C41" s="36">
        <f t="shared" si="2"/>
        <v>45169</v>
      </c>
      <c r="D41" s="778">
        <v>3565</v>
      </c>
      <c r="E41" s="778">
        <v>250</v>
      </c>
      <c r="F41" s="778">
        <v>233</v>
      </c>
      <c r="G41" s="778">
        <v>0</v>
      </c>
      <c r="H41" s="778">
        <v>11</v>
      </c>
      <c r="I41" s="778">
        <v>56</v>
      </c>
      <c r="J41" s="500">
        <f>SUM(D41:I41)</f>
        <v>4115</v>
      </c>
      <c r="K41" s="506">
        <f t="shared" si="1"/>
        <v>8152.1799999999994</v>
      </c>
      <c r="L41" s="233"/>
      <c r="M41" s="371"/>
      <c r="N41" s="233"/>
    </row>
    <row r="42" spans="2:14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  <c r="L42" s="233"/>
      <c r="M42" s="371"/>
      <c r="N42" s="233"/>
    </row>
    <row r="43" spans="2:14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  <c r="L43" s="233"/>
      <c r="M43" s="371"/>
      <c r="N43" s="233"/>
    </row>
    <row r="44" spans="2:14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Bulk'!BA28+'Facility Requested Meals + Bulk'!BA39+'Facility Requested Meals + Bulk'!BA50+'Facility Requested Meals + Bulk'!BA61+'Facility Requested Meals + Bulk'!BA72+'Facility Requested Meals + Bulk'!BA83+'Facility Requested Meals + Bulk'!BA94</f>
        <v>4726.5</v>
      </c>
      <c r="L44" s="233"/>
      <c r="M44" s="371"/>
      <c r="N44" s="233"/>
    </row>
    <row r="45" spans="2:14" x14ac:dyDescent="0.3">
      <c r="C45" s="36" t="s">
        <v>556</v>
      </c>
      <c r="D45" s="192"/>
      <c r="E45" s="192"/>
      <c r="F45" s="192"/>
      <c r="G45" s="192"/>
      <c r="H45" s="192"/>
      <c r="I45" s="192"/>
      <c r="J45" s="192"/>
      <c r="K45" s="168">
        <v>0</v>
      </c>
      <c r="L45" s="233"/>
      <c r="M45" s="371"/>
      <c r="N45" s="233"/>
    </row>
    <row r="46" spans="2:14" x14ac:dyDescent="0.3">
      <c r="C46" s="36" t="s">
        <v>581</v>
      </c>
      <c r="D46" s="192"/>
      <c r="E46" s="192"/>
      <c r="F46" s="192"/>
      <c r="G46" s="192"/>
      <c r="H46" s="192"/>
      <c r="I46" s="192"/>
      <c r="J46" s="192"/>
      <c r="K46" s="251">
        <v>0</v>
      </c>
      <c r="L46" s="233"/>
      <c r="M46" s="371"/>
      <c r="N46" s="233"/>
    </row>
    <row r="47" spans="2:14" x14ac:dyDescent="0.3">
      <c r="B47" t="s">
        <v>126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252">
        <f>-'August - EE Credits FY23  '!O8</f>
        <v>-4454.7999999999993</v>
      </c>
      <c r="L47" s="233"/>
      <c r="M47" s="372"/>
      <c r="N47" s="233"/>
    </row>
    <row r="48" spans="2:14" x14ac:dyDescent="0.3">
      <c r="B48" t="s">
        <v>126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252">
        <f>-'August - EE Credits FY23  '!P8</f>
        <v>139.14724220623475</v>
      </c>
    </row>
    <row r="49" spans="2:12" x14ac:dyDescent="0.3">
      <c r="B49" t="s">
        <v>126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252">
        <f>-'August - EE OT'!M8</f>
        <v>0</v>
      </c>
    </row>
    <row r="50" spans="2:12" x14ac:dyDescent="0.3">
      <c r="B50" t="s">
        <v>126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252">
        <f>'State to ARA Charge Aug FY23'!CK86</f>
        <v>0</v>
      </c>
    </row>
    <row r="51" spans="2:12" x14ac:dyDescent="0.3">
      <c r="C51" s="36" t="s">
        <v>680</v>
      </c>
      <c r="D51" s="192"/>
      <c r="E51" s="192"/>
      <c r="F51" s="192"/>
      <c r="G51" s="192"/>
      <c r="H51" s="192"/>
      <c r="I51" s="192"/>
      <c r="J51" s="192"/>
      <c r="K51" s="251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SUM(K44:K51)</f>
        <v>410.84724220623548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2:12" x14ac:dyDescent="0.3">
      <c r="D56" s="215"/>
      <c r="E56" s="215"/>
      <c r="F56" s="215"/>
      <c r="G56" s="215"/>
      <c r="H56" s="215"/>
      <c r="I56" s="215"/>
      <c r="J56" s="215"/>
    </row>
    <row r="57" spans="2:12" x14ac:dyDescent="0.3">
      <c r="C57" s="42" t="s">
        <v>13</v>
      </c>
      <c r="D57" s="212">
        <f>SUM(D11:D41)</f>
        <v>109137</v>
      </c>
      <c r="E57" s="212">
        <f t="shared" ref="E57:J57" si="4">SUM(E11:E41)</f>
        <v>7211</v>
      </c>
      <c r="F57" s="212">
        <f t="shared" si="4"/>
        <v>7055</v>
      </c>
      <c r="G57" s="212">
        <f t="shared" si="4"/>
        <v>0</v>
      </c>
      <c r="H57" s="212">
        <f t="shared" si="4"/>
        <v>368</v>
      </c>
      <c r="I57" s="212">
        <f t="shared" si="4"/>
        <v>1330</v>
      </c>
      <c r="J57" s="212">
        <f t="shared" si="4"/>
        <v>125101</v>
      </c>
      <c r="K57" s="168">
        <f>(SUM(D57:H57)*1.98)+(I57*2.06)</f>
        <v>247806.37999999998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248217.22724220622</v>
      </c>
      <c r="L59" s="41"/>
    </row>
    <row r="67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4.4" x14ac:dyDescent="0.3"/>
  <cols>
    <col min="1" max="1" width="15.44140625" customWidth="1"/>
    <col min="2" max="2" width="48.5546875" customWidth="1"/>
    <col min="3" max="3" width="17.5546875" hidden="1" customWidth="1"/>
    <col min="4" max="4" width="16.5546875" hidden="1" customWidth="1"/>
    <col min="5" max="5" width="10.44140625" hidden="1" customWidth="1"/>
    <col min="6" max="6" width="19.109375" customWidth="1"/>
    <col min="7" max="7" width="5.5546875" customWidth="1"/>
    <col min="8" max="8" width="14" customWidth="1"/>
    <col min="9" max="9" width="16.5546875" customWidth="1"/>
    <col min="11" max="11" width="11.109375" bestFit="1" customWidth="1"/>
  </cols>
  <sheetData>
    <row r="1" spans="1:11" x14ac:dyDescent="0.3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4" x14ac:dyDescent="0.45">
      <c r="A2" s="92"/>
      <c r="B2" s="93" t="s">
        <v>88</v>
      </c>
      <c r="C2" s="92"/>
      <c r="D2" s="92"/>
      <c r="E2" s="92"/>
      <c r="F2" s="92"/>
      <c r="G2" s="92"/>
      <c r="H2" s="94" t="s">
        <v>12</v>
      </c>
      <c r="I2" s="95">
        <f>'DOC Invoice'!J2</f>
        <v>11</v>
      </c>
    </row>
    <row r="3" spans="1:11" x14ac:dyDescent="0.3">
      <c r="A3" s="92"/>
      <c r="B3" s="92"/>
      <c r="C3" s="92"/>
      <c r="D3" s="92"/>
      <c r="E3" s="92"/>
      <c r="F3" s="92"/>
      <c r="G3" s="92"/>
      <c r="H3" s="92"/>
      <c r="I3" s="96">
        <f>'DOC Invoice'!J3</f>
        <v>45139</v>
      </c>
      <c r="K3" t="s">
        <v>130</v>
      </c>
    </row>
    <row r="4" spans="1:11" x14ac:dyDescent="0.3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45145</v>
      </c>
      <c r="K4" s="168" t="e">
        <f>F10+F15+F19+F21+F23+F24+F26+F28+F33</f>
        <v>#REF!</v>
      </c>
    </row>
    <row r="5" spans="1:11" ht="17.399999999999999" hidden="1" x14ac:dyDescent="0.3">
      <c r="A5" s="92"/>
      <c r="B5" s="92"/>
      <c r="C5" s="98"/>
      <c r="D5" s="98"/>
      <c r="E5" s="98"/>
      <c r="F5" s="98"/>
      <c r="G5" s="98"/>
      <c r="H5" s="98"/>
      <c r="I5" s="99"/>
    </row>
    <row r="6" spans="1:11" ht="18" x14ac:dyDescent="0.35">
      <c r="A6" s="100" t="str">
        <f>"Period Starting "&amp;TEXT(I3,"MMMM-DD-YYYY")&amp;" to "&amp;TEXT(I4,"MMMM-DD-YYYY")</f>
        <v>Period Starting August-01-2023 to August-07-2023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" thickBot="1" x14ac:dyDescent="0.35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5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" x14ac:dyDescent="0.35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" x14ac:dyDescent="0.35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" x14ac:dyDescent="0.35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" x14ac:dyDescent="0.35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" x14ac:dyDescent="0.35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" x14ac:dyDescent="0.35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" x14ac:dyDescent="0.35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" x14ac:dyDescent="0.35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" x14ac:dyDescent="0.35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" x14ac:dyDescent="0.35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" x14ac:dyDescent="0.35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" x14ac:dyDescent="0.35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" x14ac:dyDescent="0.35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" x14ac:dyDescent="0.35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" x14ac:dyDescent="0.35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" x14ac:dyDescent="0.35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" x14ac:dyDescent="0.35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" x14ac:dyDescent="0.35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" x14ac:dyDescent="0.35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" x14ac:dyDescent="0.35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" x14ac:dyDescent="0.35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" x14ac:dyDescent="0.35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" x14ac:dyDescent="0.35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" x14ac:dyDescent="0.35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" x14ac:dyDescent="0.35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" x14ac:dyDescent="0.35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3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" thickBot="1" x14ac:dyDescent="0.35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5.6" thickTop="1" thickBot="1" x14ac:dyDescent="0.35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3">
      <c r="B38" s="12"/>
      <c r="C38" s="13"/>
      <c r="D38" s="13"/>
      <c r="E38" s="13"/>
      <c r="F38" s="13"/>
      <c r="G38" s="13"/>
      <c r="H38" s="13"/>
      <c r="I38" s="13"/>
    </row>
    <row r="39" spans="1:9" ht="16.2" x14ac:dyDescent="0.3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3">
      <c r="B40" s="18"/>
      <c r="C40" s="19"/>
      <c r="D40" s="19"/>
      <c r="E40" s="19"/>
      <c r="F40" s="19"/>
      <c r="G40" s="19"/>
      <c r="H40" s="19"/>
      <c r="I40" s="19"/>
    </row>
    <row r="41" spans="1:9" x14ac:dyDescent="0.3">
      <c r="B41" s="4"/>
      <c r="C41" s="22"/>
      <c r="D41" s="23"/>
      <c r="E41" s="23"/>
      <c r="F41" s="23"/>
      <c r="G41" s="23"/>
      <c r="H41" s="23"/>
      <c r="I41" s="22"/>
    </row>
    <row r="42" spans="1:9" x14ac:dyDescent="0.3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5:N68"/>
  <sheetViews>
    <sheetView showGridLines="0" topLeftCell="A10" zoomScaleNormal="100" workbookViewId="0">
      <selection activeCell="C41" sqref="C41"/>
    </sheetView>
  </sheetViews>
  <sheetFormatPr defaultRowHeight="14.4" x14ac:dyDescent="0.3"/>
  <cols>
    <col min="2" max="2" width="8" customWidth="1"/>
    <col min="3" max="3" width="11.109375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4" ht="25.8" x14ac:dyDescent="0.5">
      <c r="G5" s="497" t="s">
        <v>10</v>
      </c>
      <c r="H5" s="497"/>
      <c r="I5" s="497"/>
      <c r="J5" s="497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496" t="s">
        <v>511</v>
      </c>
      <c r="H6" s="496"/>
      <c r="I6" s="496"/>
      <c r="J6" s="496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498"/>
      <c r="K7" s="498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155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594</v>
      </c>
      <c r="E10" s="201" t="s">
        <v>586</v>
      </c>
      <c r="F10" s="201" t="s">
        <v>587</v>
      </c>
      <c r="G10" s="201" t="s">
        <v>588</v>
      </c>
      <c r="H10" s="201" t="s">
        <v>589</v>
      </c>
      <c r="I10" s="201" t="s">
        <v>595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/>
      <c r="E11" s="500"/>
      <c r="F11" s="500"/>
      <c r="G11" s="500"/>
      <c r="H11" s="500"/>
      <c r="I11" s="774"/>
      <c r="J11" s="213">
        <f t="shared" ref="J11:J40" si="0">SUM(D11:I11)</f>
        <v>0</v>
      </c>
      <c r="K11" s="506">
        <f>(SUM(D11:H11)*1.672)+(I11*1.74)</f>
        <v>0</v>
      </c>
      <c r="M11" s="35"/>
      <c r="N11" s="35"/>
    </row>
    <row r="12" spans="2:14" x14ac:dyDescent="0.3">
      <c r="C12" s="36">
        <f>IF(C11+1&lt;=$C$8,C11+1,0)</f>
        <v>45140</v>
      </c>
      <c r="D12" s="500"/>
      <c r="E12" s="500"/>
      <c r="F12" s="500"/>
      <c r="G12" s="500"/>
      <c r="H12" s="500"/>
      <c r="I12" s="773"/>
      <c r="J12" s="214">
        <f t="shared" si="0"/>
        <v>0</v>
      </c>
      <c r="K12" s="506">
        <f t="shared" ref="K12:K41" si="1">(SUM(D12:H12)*1.672)+(I12*1.74)</f>
        <v>0</v>
      </c>
    </row>
    <row r="13" spans="2:14" x14ac:dyDescent="0.3">
      <c r="C13" s="36">
        <f t="shared" ref="C13:C40" si="2">IF(C12+1&lt;=$C$8,C12+1,0)</f>
        <v>45141</v>
      </c>
      <c r="D13" s="500"/>
      <c r="E13" s="500"/>
      <c r="F13" s="500"/>
      <c r="G13" s="500"/>
      <c r="H13" s="500"/>
      <c r="I13" s="773"/>
      <c r="J13" s="214">
        <f t="shared" si="0"/>
        <v>0</v>
      </c>
      <c r="K13" s="506">
        <f t="shared" si="1"/>
        <v>0</v>
      </c>
    </row>
    <row r="14" spans="2:14" x14ac:dyDescent="0.3">
      <c r="C14" s="36">
        <f t="shared" si="2"/>
        <v>45142</v>
      </c>
      <c r="D14" s="500"/>
      <c r="E14" s="500"/>
      <c r="F14" s="500"/>
      <c r="G14" s="500"/>
      <c r="H14" s="500"/>
      <c r="I14" s="773"/>
      <c r="J14" s="214">
        <f t="shared" si="0"/>
        <v>0</v>
      </c>
      <c r="K14" s="506">
        <f t="shared" si="1"/>
        <v>0</v>
      </c>
      <c r="L14" s="3"/>
    </row>
    <row r="15" spans="2:14" x14ac:dyDescent="0.3">
      <c r="C15" s="36">
        <f t="shared" si="2"/>
        <v>45143</v>
      </c>
      <c r="D15" s="500"/>
      <c r="E15" s="500"/>
      <c r="F15" s="500"/>
      <c r="G15" s="500"/>
      <c r="H15" s="500"/>
      <c r="I15" s="773"/>
      <c r="J15" s="214">
        <f t="shared" si="0"/>
        <v>0</v>
      </c>
      <c r="K15" s="506">
        <f t="shared" si="1"/>
        <v>0</v>
      </c>
    </row>
    <row r="16" spans="2:14" x14ac:dyDescent="0.3">
      <c r="C16" s="36">
        <f t="shared" si="2"/>
        <v>45144</v>
      </c>
      <c r="D16" s="500"/>
      <c r="E16" s="500"/>
      <c r="F16" s="500"/>
      <c r="G16" s="500"/>
      <c r="H16" s="500"/>
      <c r="I16" s="773"/>
      <c r="J16" s="214">
        <f t="shared" si="0"/>
        <v>0</v>
      </c>
      <c r="K16" s="506">
        <f t="shared" si="1"/>
        <v>0</v>
      </c>
    </row>
    <row r="17" spans="3:11" x14ac:dyDescent="0.3">
      <c r="C17" s="36">
        <f t="shared" si="2"/>
        <v>45145</v>
      </c>
      <c r="D17" s="500"/>
      <c r="E17" s="500"/>
      <c r="F17" s="500"/>
      <c r="G17" s="500"/>
      <c r="H17" s="500"/>
      <c r="I17" s="773"/>
      <c r="J17" s="214">
        <f t="shared" si="0"/>
        <v>0</v>
      </c>
      <c r="K17" s="506">
        <f t="shared" si="1"/>
        <v>0</v>
      </c>
    </row>
    <row r="18" spans="3:11" x14ac:dyDescent="0.3">
      <c r="C18" s="36">
        <f t="shared" si="2"/>
        <v>45146</v>
      </c>
      <c r="D18" s="500"/>
      <c r="E18" s="500"/>
      <c r="F18" s="500"/>
      <c r="G18" s="500"/>
      <c r="H18" s="500"/>
      <c r="I18" s="773"/>
      <c r="J18" s="214">
        <f t="shared" si="0"/>
        <v>0</v>
      </c>
      <c r="K18" s="506">
        <f t="shared" si="1"/>
        <v>0</v>
      </c>
    </row>
    <row r="19" spans="3:11" x14ac:dyDescent="0.3">
      <c r="C19" s="36">
        <f t="shared" si="2"/>
        <v>45147</v>
      </c>
      <c r="D19" s="500"/>
      <c r="E19" s="500"/>
      <c r="F19" s="500"/>
      <c r="G19" s="500"/>
      <c r="H19" s="500"/>
      <c r="I19" s="773"/>
      <c r="J19" s="214">
        <f t="shared" si="0"/>
        <v>0</v>
      </c>
      <c r="K19" s="506">
        <f t="shared" si="1"/>
        <v>0</v>
      </c>
    </row>
    <row r="20" spans="3:11" x14ac:dyDescent="0.3">
      <c r="C20" s="36">
        <f t="shared" si="2"/>
        <v>45148</v>
      </c>
      <c r="D20" s="500"/>
      <c r="E20" s="500"/>
      <c r="F20" s="500"/>
      <c r="G20" s="500"/>
      <c r="H20" s="500"/>
      <c r="I20" s="773"/>
      <c r="J20" s="214">
        <f t="shared" si="0"/>
        <v>0</v>
      </c>
      <c r="K20" s="506">
        <f t="shared" si="1"/>
        <v>0</v>
      </c>
    </row>
    <row r="21" spans="3:11" x14ac:dyDescent="0.3">
      <c r="C21" s="36">
        <f t="shared" si="2"/>
        <v>45149</v>
      </c>
      <c r="D21" s="500"/>
      <c r="E21" s="500"/>
      <c r="F21" s="500"/>
      <c r="G21" s="500"/>
      <c r="H21" s="500"/>
      <c r="I21" s="773"/>
      <c r="J21" s="214">
        <f t="shared" si="0"/>
        <v>0</v>
      </c>
      <c r="K21" s="506">
        <f t="shared" si="1"/>
        <v>0</v>
      </c>
    </row>
    <row r="22" spans="3:11" x14ac:dyDescent="0.3">
      <c r="C22" s="36">
        <f t="shared" si="2"/>
        <v>45150</v>
      </c>
      <c r="D22" s="500"/>
      <c r="E22" s="500"/>
      <c r="F22" s="500"/>
      <c r="G22" s="500"/>
      <c r="H22" s="500"/>
      <c r="I22" s="773"/>
      <c r="J22" s="214">
        <f t="shared" si="0"/>
        <v>0</v>
      </c>
      <c r="K22" s="506">
        <f t="shared" si="1"/>
        <v>0</v>
      </c>
    </row>
    <row r="23" spans="3:11" x14ac:dyDescent="0.3">
      <c r="C23" s="36">
        <f t="shared" si="2"/>
        <v>45151</v>
      </c>
      <c r="D23" s="500"/>
      <c r="E23" s="500"/>
      <c r="F23" s="500"/>
      <c r="G23" s="500"/>
      <c r="H23" s="500"/>
      <c r="I23" s="773"/>
      <c r="J23" s="214">
        <f t="shared" si="0"/>
        <v>0</v>
      </c>
      <c r="K23" s="506">
        <f t="shared" si="1"/>
        <v>0</v>
      </c>
    </row>
    <row r="24" spans="3:11" x14ac:dyDescent="0.3">
      <c r="C24" s="36">
        <f t="shared" si="2"/>
        <v>45152</v>
      </c>
      <c r="D24" s="500"/>
      <c r="E24" s="500"/>
      <c r="F24" s="500"/>
      <c r="G24" s="500"/>
      <c r="H24" s="500"/>
      <c r="I24" s="773"/>
      <c r="J24" s="214">
        <f t="shared" si="0"/>
        <v>0</v>
      </c>
      <c r="K24" s="506">
        <f t="shared" si="1"/>
        <v>0</v>
      </c>
    </row>
    <row r="25" spans="3:11" x14ac:dyDescent="0.3">
      <c r="C25" s="36">
        <f t="shared" si="2"/>
        <v>45153</v>
      </c>
      <c r="D25" s="773"/>
      <c r="E25" s="773"/>
      <c r="F25" s="773"/>
      <c r="G25" s="773"/>
      <c r="H25" s="773"/>
      <c r="I25" s="773"/>
      <c r="J25" s="214">
        <f t="shared" si="0"/>
        <v>0</v>
      </c>
      <c r="K25" s="506">
        <f t="shared" si="1"/>
        <v>0</v>
      </c>
    </row>
    <row r="26" spans="3:11" x14ac:dyDescent="0.3">
      <c r="C26" s="36">
        <f t="shared" si="2"/>
        <v>45154</v>
      </c>
      <c r="D26" s="773"/>
      <c r="E26" s="773"/>
      <c r="F26" s="773"/>
      <c r="G26" s="773"/>
      <c r="H26" s="773"/>
      <c r="I26" s="773"/>
      <c r="J26" s="214">
        <f t="shared" si="0"/>
        <v>0</v>
      </c>
      <c r="K26" s="506">
        <f t="shared" si="1"/>
        <v>0</v>
      </c>
    </row>
    <row r="27" spans="3:11" x14ac:dyDescent="0.3">
      <c r="C27" s="36">
        <f t="shared" si="2"/>
        <v>45155</v>
      </c>
      <c r="D27" s="773"/>
      <c r="E27" s="773"/>
      <c r="F27" s="773"/>
      <c r="G27" s="773"/>
      <c r="H27" s="773"/>
      <c r="I27" s="773"/>
      <c r="J27" s="214">
        <f t="shared" si="0"/>
        <v>0</v>
      </c>
      <c r="K27" s="506">
        <f t="shared" si="1"/>
        <v>0</v>
      </c>
    </row>
    <row r="28" spans="3:11" x14ac:dyDescent="0.3">
      <c r="C28" s="36">
        <f t="shared" si="2"/>
        <v>45156</v>
      </c>
      <c r="D28" s="773"/>
      <c r="E28" s="773"/>
      <c r="F28" s="773"/>
      <c r="G28" s="773"/>
      <c r="H28" s="773"/>
      <c r="I28" s="773"/>
      <c r="J28" s="214">
        <f t="shared" si="0"/>
        <v>0</v>
      </c>
      <c r="K28" s="506">
        <f t="shared" si="1"/>
        <v>0</v>
      </c>
    </row>
    <row r="29" spans="3:11" x14ac:dyDescent="0.3">
      <c r="C29" s="36">
        <f t="shared" si="2"/>
        <v>45157</v>
      </c>
      <c r="D29" s="773"/>
      <c r="E29" s="773"/>
      <c r="F29" s="773"/>
      <c r="G29" s="773"/>
      <c r="H29" s="773"/>
      <c r="I29" s="773"/>
      <c r="J29" s="214">
        <f t="shared" si="0"/>
        <v>0</v>
      </c>
      <c r="K29" s="506">
        <f t="shared" si="1"/>
        <v>0</v>
      </c>
    </row>
    <row r="30" spans="3:11" x14ac:dyDescent="0.3">
      <c r="C30" s="36">
        <f t="shared" si="2"/>
        <v>45158</v>
      </c>
      <c r="D30" s="773"/>
      <c r="E30" s="773"/>
      <c r="F30" s="773"/>
      <c r="G30" s="773"/>
      <c r="H30" s="773"/>
      <c r="I30" s="773"/>
      <c r="J30" s="214">
        <f t="shared" si="0"/>
        <v>0</v>
      </c>
      <c r="K30" s="506">
        <f t="shared" si="1"/>
        <v>0</v>
      </c>
    </row>
    <row r="31" spans="3:11" x14ac:dyDescent="0.3">
      <c r="C31" s="36">
        <f t="shared" si="2"/>
        <v>45159</v>
      </c>
      <c r="D31" s="773"/>
      <c r="E31" s="773"/>
      <c r="F31" s="773"/>
      <c r="G31" s="773"/>
      <c r="H31" s="773"/>
      <c r="I31" s="773"/>
      <c r="J31" s="214">
        <f t="shared" si="0"/>
        <v>0</v>
      </c>
      <c r="K31" s="506">
        <f t="shared" si="1"/>
        <v>0</v>
      </c>
    </row>
    <row r="32" spans="3:11" x14ac:dyDescent="0.3">
      <c r="C32" s="36">
        <f t="shared" si="2"/>
        <v>45160</v>
      </c>
      <c r="D32" s="773"/>
      <c r="E32" s="773"/>
      <c r="F32" s="773"/>
      <c r="G32" s="773"/>
      <c r="H32" s="773"/>
      <c r="I32" s="773"/>
      <c r="J32" s="214">
        <f t="shared" si="0"/>
        <v>0</v>
      </c>
      <c r="K32" s="506">
        <f t="shared" si="1"/>
        <v>0</v>
      </c>
    </row>
    <row r="33" spans="3:11" x14ac:dyDescent="0.3">
      <c r="C33" s="36">
        <f t="shared" si="2"/>
        <v>45161</v>
      </c>
      <c r="D33" s="773"/>
      <c r="E33" s="773"/>
      <c r="F33" s="773"/>
      <c r="G33" s="773"/>
      <c r="H33" s="773"/>
      <c r="I33" s="773"/>
      <c r="J33" s="214">
        <f t="shared" si="0"/>
        <v>0</v>
      </c>
      <c r="K33" s="506">
        <f t="shared" si="1"/>
        <v>0</v>
      </c>
    </row>
    <row r="34" spans="3:11" x14ac:dyDescent="0.3">
      <c r="C34" s="36">
        <f t="shared" si="2"/>
        <v>45162</v>
      </c>
      <c r="D34" s="773"/>
      <c r="E34" s="773"/>
      <c r="F34" s="773"/>
      <c r="G34" s="773"/>
      <c r="H34" s="773"/>
      <c r="I34" s="773"/>
      <c r="J34" s="214">
        <f t="shared" si="0"/>
        <v>0</v>
      </c>
      <c r="K34" s="506">
        <f t="shared" si="1"/>
        <v>0</v>
      </c>
    </row>
    <row r="35" spans="3:11" x14ac:dyDescent="0.3">
      <c r="C35" s="36">
        <f t="shared" si="2"/>
        <v>45163</v>
      </c>
      <c r="D35" s="773"/>
      <c r="E35" s="773"/>
      <c r="F35" s="773"/>
      <c r="G35" s="773"/>
      <c r="H35" s="773"/>
      <c r="I35" s="773"/>
      <c r="J35" s="214">
        <f t="shared" si="0"/>
        <v>0</v>
      </c>
      <c r="K35" s="506">
        <f t="shared" si="1"/>
        <v>0</v>
      </c>
    </row>
    <row r="36" spans="3:11" x14ac:dyDescent="0.3">
      <c r="C36" s="36">
        <f t="shared" si="2"/>
        <v>45164</v>
      </c>
      <c r="D36" s="773"/>
      <c r="E36" s="773"/>
      <c r="F36" s="773"/>
      <c r="G36" s="773"/>
      <c r="H36" s="773"/>
      <c r="I36" s="773"/>
      <c r="J36" s="214">
        <f t="shared" si="0"/>
        <v>0</v>
      </c>
      <c r="K36" s="506">
        <f t="shared" si="1"/>
        <v>0</v>
      </c>
    </row>
    <row r="37" spans="3:11" x14ac:dyDescent="0.3">
      <c r="C37" s="36">
        <f t="shared" si="2"/>
        <v>45165</v>
      </c>
      <c r="D37" s="773"/>
      <c r="E37" s="773"/>
      <c r="F37" s="773"/>
      <c r="G37" s="773"/>
      <c r="H37" s="773"/>
      <c r="I37" s="773"/>
      <c r="J37" s="214">
        <f t="shared" si="0"/>
        <v>0</v>
      </c>
      <c r="K37" s="506">
        <f t="shared" si="1"/>
        <v>0</v>
      </c>
    </row>
    <row r="38" spans="3:11" x14ac:dyDescent="0.3">
      <c r="C38" s="36">
        <f t="shared" si="2"/>
        <v>45166</v>
      </c>
      <c r="D38" s="773"/>
      <c r="E38" s="773"/>
      <c r="F38" s="773"/>
      <c r="G38" s="773"/>
      <c r="H38" s="773"/>
      <c r="I38" s="773"/>
      <c r="J38" s="214">
        <f t="shared" si="0"/>
        <v>0</v>
      </c>
      <c r="K38" s="506">
        <f t="shared" si="1"/>
        <v>0</v>
      </c>
    </row>
    <row r="39" spans="3:11" x14ac:dyDescent="0.3">
      <c r="C39" s="36">
        <f t="shared" si="2"/>
        <v>45167</v>
      </c>
      <c r="D39" s="773"/>
      <c r="E39" s="773"/>
      <c r="F39" s="773"/>
      <c r="G39" s="773"/>
      <c r="H39" s="773"/>
      <c r="I39" s="773"/>
      <c r="J39" s="500">
        <f t="shared" si="0"/>
        <v>0</v>
      </c>
      <c r="K39" s="506">
        <f t="shared" si="1"/>
        <v>0</v>
      </c>
    </row>
    <row r="40" spans="3:11" x14ac:dyDescent="0.3">
      <c r="C40" s="36">
        <f t="shared" si="2"/>
        <v>45168</v>
      </c>
      <c r="D40" s="773"/>
      <c r="E40" s="773"/>
      <c r="F40" s="773"/>
      <c r="G40" s="773"/>
      <c r="H40" s="773"/>
      <c r="I40" s="773"/>
      <c r="J40" s="500">
        <f t="shared" si="0"/>
        <v>0</v>
      </c>
      <c r="K40" s="506">
        <f t="shared" si="1"/>
        <v>0</v>
      </c>
    </row>
    <row r="41" spans="3:11" x14ac:dyDescent="0.3">
      <c r="C41" s="36" t="s">
        <v>556</v>
      </c>
      <c r="D41" s="778"/>
      <c r="E41" s="778"/>
      <c r="F41" s="778"/>
      <c r="G41" s="778"/>
      <c r="H41" s="778"/>
      <c r="I41" s="778"/>
      <c r="J41" s="500">
        <f>SUM(D41:I41)</f>
        <v>0</v>
      </c>
      <c r="K41" s="506">
        <f t="shared" si="1"/>
        <v>0</v>
      </c>
    </row>
    <row r="42" spans="3:11" x14ac:dyDescent="0.3">
      <c r="C42" s="36"/>
      <c r="D42" s="192"/>
      <c r="E42" s="192"/>
      <c r="F42" s="192"/>
      <c r="G42" s="192"/>
      <c r="H42" s="192"/>
      <c r="I42" s="192"/>
      <c r="J42" s="192"/>
      <c r="K42" s="38"/>
    </row>
    <row r="43" spans="3:11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3:11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38">
        <v>0</v>
      </c>
    </row>
    <row r="45" spans="3:11" x14ac:dyDescent="0.3">
      <c r="C45" s="36" t="s">
        <v>574</v>
      </c>
      <c r="D45" s="192"/>
      <c r="E45" s="192"/>
      <c r="F45" s="192"/>
      <c r="G45" s="192"/>
      <c r="H45" s="192"/>
      <c r="I45" s="192"/>
      <c r="J45" s="192"/>
      <c r="K45" s="168"/>
    </row>
    <row r="46" spans="3:11" x14ac:dyDescent="0.3">
      <c r="C46" s="36" t="s">
        <v>184</v>
      </c>
      <c r="D46" s="192"/>
      <c r="E46" s="192"/>
      <c r="F46" s="192"/>
      <c r="G46" s="192"/>
      <c r="H46" s="192"/>
      <c r="I46" s="192"/>
      <c r="J46" s="192"/>
      <c r="K46" s="251">
        <v>0</v>
      </c>
    </row>
    <row r="47" spans="3:11" x14ac:dyDescent="0.3">
      <c r="C47" s="36" t="s">
        <v>185</v>
      </c>
      <c r="D47" s="192"/>
      <c r="E47" s="192"/>
      <c r="F47" s="192"/>
      <c r="G47" s="192"/>
      <c r="H47" s="192"/>
      <c r="I47" s="192"/>
      <c r="J47" s="192"/>
      <c r="K47" s="274"/>
    </row>
    <row r="48" spans="3:11" x14ac:dyDescent="0.3">
      <c r="C48" s="36" t="s">
        <v>232</v>
      </c>
      <c r="D48" s="192"/>
      <c r="E48" s="192"/>
      <c r="F48" s="192"/>
      <c r="G48" s="192"/>
      <c r="H48" s="192"/>
      <c r="I48" s="192"/>
      <c r="J48" s="192"/>
      <c r="K48" s="274"/>
    </row>
    <row r="49" spans="3:12" x14ac:dyDescent="0.3">
      <c r="C49" s="36" t="s">
        <v>245</v>
      </c>
      <c r="D49" s="192"/>
      <c r="E49" s="192"/>
      <c r="F49" s="192"/>
      <c r="G49" s="192"/>
      <c r="H49" s="192"/>
      <c r="I49" s="192"/>
      <c r="J49" s="192"/>
      <c r="K49" s="274"/>
    </row>
    <row r="50" spans="3:12" x14ac:dyDescent="0.3">
      <c r="C50" s="36" t="s">
        <v>243</v>
      </c>
      <c r="D50" s="192"/>
      <c r="E50" s="192"/>
      <c r="F50" s="192"/>
      <c r="G50" s="192"/>
      <c r="H50" s="192"/>
      <c r="I50" s="192"/>
      <c r="J50" s="192"/>
      <c r="K50" s="274"/>
    </row>
    <row r="51" spans="3:12" x14ac:dyDescent="0.3">
      <c r="C51" s="205" t="s">
        <v>193</v>
      </c>
      <c r="D51" s="192"/>
      <c r="E51" s="192"/>
      <c r="F51" s="192"/>
      <c r="G51" s="192"/>
      <c r="H51" s="192"/>
      <c r="I51" s="192"/>
      <c r="J51" s="192"/>
      <c r="K51" s="319"/>
    </row>
    <row r="52" spans="3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320"/>
    </row>
    <row r="53" spans="3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SUM(K44:K51)</f>
        <v>0</v>
      </c>
    </row>
    <row r="54" spans="3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3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6" spans="3:12" x14ac:dyDescent="0.3">
      <c r="D56" s="215"/>
      <c r="E56" s="215"/>
      <c r="F56" s="215"/>
      <c r="G56" s="215"/>
      <c r="H56" s="215"/>
      <c r="I56" s="215"/>
      <c r="J56" s="215"/>
    </row>
    <row r="57" spans="3:12" x14ac:dyDescent="0.3">
      <c r="C57" s="42" t="s">
        <v>13</v>
      </c>
      <c r="D57" s="212">
        <f>SUM(D11:D41)</f>
        <v>0</v>
      </c>
      <c r="E57" s="212">
        <f t="shared" ref="E57:J57" si="3">SUM(E11:E41)</f>
        <v>0</v>
      </c>
      <c r="F57" s="212">
        <f t="shared" si="3"/>
        <v>0</v>
      </c>
      <c r="G57" s="212">
        <f t="shared" si="3"/>
        <v>0</v>
      </c>
      <c r="H57" s="212">
        <f t="shared" si="3"/>
        <v>0</v>
      </c>
      <c r="I57" s="212">
        <f t="shared" si="3"/>
        <v>0</v>
      </c>
      <c r="J57" s="212">
        <f t="shared" si="3"/>
        <v>0</v>
      </c>
      <c r="K57" s="168">
        <f>(SUM(D57:H57)*1.672)+(I57*1.74)</f>
        <v>0</v>
      </c>
    </row>
    <row r="58" spans="3:12" x14ac:dyDescent="0.3">
      <c r="D58" s="212"/>
      <c r="E58" s="212"/>
      <c r="F58" s="212"/>
      <c r="G58" s="212"/>
      <c r="H58" s="212"/>
      <c r="I58" s="212"/>
      <c r="J58" s="212"/>
      <c r="K58" s="756"/>
    </row>
    <row r="59" spans="3:12" ht="18" x14ac:dyDescent="0.35">
      <c r="G59" s="188"/>
      <c r="H59" s="188"/>
      <c r="I59" s="188"/>
      <c r="J59" s="188" t="s">
        <v>241</v>
      </c>
      <c r="K59" s="770">
        <f>K53+K57+K58</f>
        <v>0</v>
      </c>
      <c r="L59" s="41"/>
    </row>
    <row r="68" ht="14.4" hidden="1" customHeight="1" x14ac:dyDescent="0.3"/>
  </sheetData>
  <pageMargins left="0.45" right="0.45" top="0.25" bottom="0.25" header="0" footer="0"/>
  <pageSetup scale="59" fitToHeight="0" orientation="portrait" r:id="rId1"/>
  <rowBreaks count="2" manualBreakCount="2">
    <brk id="62" max="11" man="1"/>
    <brk id="66" max="11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5:N67"/>
  <sheetViews>
    <sheetView showGridLines="0" topLeftCell="A34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2.44140625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156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157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>
        <v>2100</v>
      </c>
      <c r="E11" s="500">
        <v>69</v>
      </c>
      <c r="F11" s="500">
        <v>126</v>
      </c>
      <c r="G11" s="500">
        <v>0</v>
      </c>
      <c r="H11" s="500">
        <v>101</v>
      </c>
      <c r="I11" s="774">
        <v>21</v>
      </c>
      <c r="J11" s="213">
        <f>SUM(D11:I11)</f>
        <v>2417</v>
      </c>
      <c r="K11" s="506">
        <f>(SUM(D11:H11)*1.98)+(I11*2.06)</f>
        <v>4787.34</v>
      </c>
      <c r="M11" s="35"/>
      <c r="N11" s="35"/>
    </row>
    <row r="12" spans="2:14" x14ac:dyDescent="0.3">
      <c r="C12" s="36">
        <f>IF(C11+1&lt;=$C$8,C11+1,0)</f>
        <v>45140</v>
      </c>
      <c r="D12" s="500">
        <v>1892</v>
      </c>
      <c r="E12" s="500">
        <v>69</v>
      </c>
      <c r="F12" s="500">
        <v>138</v>
      </c>
      <c r="G12" s="500">
        <v>0</v>
      </c>
      <c r="H12" s="500">
        <v>97</v>
      </c>
      <c r="I12" s="773">
        <v>21</v>
      </c>
      <c r="J12" s="214">
        <f t="shared" ref="J12:J40" si="0">SUM(D12:I12)</f>
        <v>2217</v>
      </c>
      <c r="K12" s="506">
        <f t="shared" ref="K12:K41" si="1">(SUM(D12:H12)*1.98)+(I12*2.06)</f>
        <v>4391.34</v>
      </c>
      <c r="N12" s="35"/>
    </row>
    <row r="13" spans="2:14" x14ac:dyDescent="0.3">
      <c r="C13" s="36">
        <f t="shared" ref="C13:C41" si="2">IF(C12+1&lt;=$C$8,C12+1,0)</f>
        <v>45141</v>
      </c>
      <c r="D13" s="500">
        <v>1842</v>
      </c>
      <c r="E13" s="500">
        <v>69</v>
      </c>
      <c r="F13" s="500">
        <v>150</v>
      </c>
      <c r="G13" s="500">
        <v>0</v>
      </c>
      <c r="H13" s="500">
        <v>109</v>
      </c>
      <c r="I13" s="773">
        <v>30</v>
      </c>
      <c r="J13" s="214">
        <f t="shared" si="0"/>
        <v>2200</v>
      </c>
      <c r="K13" s="506">
        <f t="shared" si="1"/>
        <v>4358.4000000000005</v>
      </c>
      <c r="N13" s="35"/>
    </row>
    <row r="14" spans="2:14" x14ac:dyDescent="0.3">
      <c r="C14" s="36">
        <f t="shared" si="2"/>
        <v>45142</v>
      </c>
      <c r="D14" s="500">
        <v>1919</v>
      </c>
      <c r="E14" s="500">
        <v>69</v>
      </c>
      <c r="F14" s="500">
        <v>140</v>
      </c>
      <c r="G14" s="500">
        <v>0</v>
      </c>
      <c r="H14" s="500">
        <v>96</v>
      </c>
      <c r="I14" s="773">
        <v>30</v>
      </c>
      <c r="J14" s="214">
        <f t="shared" si="0"/>
        <v>2254</v>
      </c>
      <c r="K14" s="506">
        <f t="shared" si="1"/>
        <v>4465.32</v>
      </c>
      <c r="L14" s="3"/>
      <c r="N14" s="35"/>
    </row>
    <row r="15" spans="2:14" x14ac:dyDescent="0.3">
      <c r="C15" s="36">
        <f t="shared" si="2"/>
        <v>45143</v>
      </c>
      <c r="D15" s="500">
        <v>1302</v>
      </c>
      <c r="E15" s="500">
        <v>46</v>
      </c>
      <c r="F15" s="500">
        <v>150</v>
      </c>
      <c r="G15" s="500">
        <v>0</v>
      </c>
      <c r="H15" s="500">
        <v>44</v>
      </c>
      <c r="I15" s="773">
        <v>0</v>
      </c>
      <c r="J15" s="214">
        <f t="shared" si="0"/>
        <v>1542</v>
      </c>
      <c r="K15" s="506">
        <f t="shared" si="1"/>
        <v>3053.16</v>
      </c>
      <c r="N15" s="35"/>
    </row>
    <row r="16" spans="2:14" x14ac:dyDescent="0.3">
      <c r="C16" s="36">
        <f t="shared" si="2"/>
        <v>45144</v>
      </c>
      <c r="D16" s="500">
        <v>1159</v>
      </c>
      <c r="E16" s="500">
        <v>46</v>
      </c>
      <c r="F16" s="500">
        <v>150</v>
      </c>
      <c r="G16" s="500">
        <v>0</v>
      </c>
      <c r="H16" s="500">
        <v>53</v>
      </c>
      <c r="I16" s="773">
        <v>0</v>
      </c>
      <c r="J16" s="214">
        <f t="shared" si="0"/>
        <v>1408</v>
      </c>
      <c r="K16" s="506">
        <f t="shared" si="1"/>
        <v>2787.84</v>
      </c>
      <c r="N16" s="35"/>
    </row>
    <row r="17" spans="3:14" x14ac:dyDescent="0.3">
      <c r="C17" s="36">
        <f t="shared" si="2"/>
        <v>45145</v>
      </c>
      <c r="D17" s="500">
        <v>1923</v>
      </c>
      <c r="E17" s="500">
        <v>69</v>
      </c>
      <c r="F17" s="500">
        <v>141</v>
      </c>
      <c r="G17" s="500">
        <v>0</v>
      </c>
      <c r="H17" s="500">
        <v>100</v>
      </c>
      <c r="I17" s="773">
        <v>23</v>
      </c>
      <c r="J17" s="214">
        <f t="shared" si="0"/>
        <v>2256</v>
      </c>
      <c r="K17" s="506">
        <f t="shared" si="1"/>
        <v>4468.72</v>
      </c>
      <c r="N17" s="35"/>
    </row>
    <row r="18" spans="3:14" x14ac:dyDescent="0.3">
      <c r="C18" s="36">
        <f t="shared" si="2"/>
        <v>45146</v>
      </c>
      <c r="D18" s="500">
        <v>1858</v>
      </c>
      <c r="E18" s="500">
        <v>69</v>
      </c>
      <c r="F18" s="500">
        <v>147</v>
      </c>
      <c r="G18" s="500">
        <v>0</v>
      </c>
      <c r="H18" s="500">
        <v>114</v>
      </c>
      <c r="I18" s="773">
        <v>21</v>
      </c>
      <c r="J18" s="214">
        <f t="shared" si="0"/>
        <v>2209</v>
      </c>
      <c r="K18" s="506">
        <f t="shared" si="1"/>
        <v>4375.5</v>
      </c>
      <c r="N18" s="35"/>
    </row>
    <row r="19" spans="3:14" x14ac:dyDescent="0.3">
      <c r="C19" s="36">
        <f t="shared" si="2"/>
        <v>45147</v>
      </c>
      <c r="D19" s="500">
        <v>1886</v>
      </c>
      <c r="E19" s="500">
        <v>69</v>
      </c>
      <c r="F19" s="500">
        <v>147</v>
      </c>
      <c r="G19" s="500">
        <v>0</v>
      </c>
      <c r="H19" s="500">
        <v>115</v>
      </c>
      <c r="I19" s="773">
        <v>21</v>
      </c>
      <c r="J19" s="214">
        <f t="shared" si="0"/>
        <v>2238</v>
      </c>
      <c r="K19" s="506">
        <f t="shared" si="1"/>
        <v>4432.92</v>
      </c>
      <c r="N19" s="35"/>
    </row>
    <row r="20" spans="3:14" x14ac:dyDescent="0.3">
      <c r="C20" s="36">
        <f t="shared" si="2"/>
        <v>45148</v>
      </c>
      <c r="D20" s="500">
        <v>1874</v>
      </c>
      <c r="E20" s="500">
        <v>69</v>
      </c>
      <c r="F20" s="500">
        <v>147</v>
      </c>
      <c r="G20" s="500">
        <v>0</v>
      </c>
      <c r="H20" s="500">
        <v>121</v>
      </c>
      <c r="I20" s="773">
        <v>21</v>
      </c>
      <c r="J20" s="214">
        <f t="shared" si="0"/>
        <v>2232</v>
      </c>
      <c r="K20" s="506">
        <f t="shared" si="1"/>
        <v>4421.04</v>
      </c>
      <c r="N20" s="35"/>
    </row>
    <row r="21" spans="3:14" x14ac:dyDescent="0.3">
      <c r="C21" s="36">
        <f t="shared" si="2"/>
        <v>45149</v>
      </c>
      <c r="D21" s="500">
        <v>1788</v>
      </c>
      <c r="E21" s="500">
        <v>69</v>
      </c>
      <c r="F21" s="500">
        <v>148</v>
      </c>
      <c r="G21" s="500">
        <v>0</v>
      </c>
      <c r="H21" s="500">
        <v>80</v>
      </c>
      <c r="I21" s="773">
        <v>21</v>
      </c>
      <c r="J21" s="214">
        <f t="shared" si="0"/>
        <v>2106</v>
      </c>
      <c r="K21" s="506">
        <f t="shared" si="1"/>
        <v>4171.5600000000004</v>
      </c>
      <c r="N21" s="35"/>
    </row>
    <row r="22" spans="3:14" x14ac:dyDescent="0.3">
      <c r="C22" s="36">
        <f t="shared" si="2"/>
        <v>45150</v>
      </c>
      <c r="D22" s="500">
        <v>1185</v>
      </c>
      <c r="E22" s="500">
        <v>46</v>
      </c>
      <c r="F22" s="500">
        <v>147</v>
      </c>
      <c r="G22" s="500">
        <v>0</v>
      </c>
      <c r="H22" s="500">
        <v>32</v>
      </c>
      <c r="I22" s="773">
        <v>0</v>
      </c>
      <c r="J22" s="214">
        <f t="shared" si="0"/>
        <v>1410</v>
      </c>
      <c r="K22" s="506">
        <f t="shared" si="1"/>
        <v>2791.8</v>
      </c>
      <c r="N22" s="35"/>
    </row>
    <row r="23" spans="3:14" x14ac:dyDescent="0.3">
      <c r="C23" s="36">
        <f t="shared" si="2"/>
        <v>45151</v>
      </c>
      <c r="D23" s="500">
        <v>1171</v>
      </c>
      <c r="E23" s="500">
        <v>46</v>
      </c>
      <c r="F23" s="500">
        <v>147</v>
      </c>
      <c r="G23" s="500">
        <v>0</v>
      </c>
      <c r="H23" s="500">
        <v>50</v>
      </c>
      <c r="I23" s="773">
        <v>0</v>
      </c>
      <c r="J23" s="214">
        <f t="shared" si="0"/>
        <v>1414</v>
      </c>
      <c r="K23" s="506">
        <f t="shared" si="1"/>
        <v>2799.72</v>
      </c>
      <c r="N23" s="35"/>
    </row>
    <row r="24" spans="3:14" x14ac:dyDescent="0.3">
      <c r="C24" s="36">
        <f t="shared" si="2"/>
        <v>45152</v>
      </c>
      <c r="D24" s="500">
        <v>1853</v>
      </c>
      <c r="E24" s="500">
        <v>69</v>
      </c>
      <c r="F24" s="500">
        <v>147</v>
      </c>
      <c r="G24" s="500">
        <v>0</v>
      </c>
      <c r="H24" s="500">
        <v>104</v>
      </c>
      <c r="I24" s="773">
        <v>24</v>
      </c>
      <c r="J24" s="214">
        <f t="shared" si="0"/>
        <v>2197</v>
      </c>
      <c r="K24" s="506">
        <f t="shared" si="1"/>
        <v>4351.9799999999996</v>
      </c>
      <c r="N24" s="35"/>
    </row>
    <row r="25" spans="3:14" x14ac:dyDescent="0.3">
      <c r="C25" s="36">
        <f t="shared" si="2"/>
        <v>45153</v>
      </c>
      <c r="D25" s="773">
        <v>1889</v>
      </c>
      <c r="E25" s="773">
        <v>69</v>
      </c>
      <c r="F25" s="773">
        <v>147</v>
      </c>
      <c r="G25" s="773">
        <v>0</v>
      </c>
      <c r="H25" s="773">
        <v>99</v>
      </c>
      <c r="I25" s="773">
        <v>23</v>
      </c>
      <c r="J25" s="214">
        <f t="shared" si="0"/>
        <v>2227</v>
      </c>
      <c r="K25" s="506">
        <f t="shared" si="1"/>
        <v>4411.3</v>
      </c>
      <c r="N25" s="35"/>
    </row>
    <row r="26" spans="3:14" x14ac:dyDescent="0.3">
      <c r="C26" s="36">
        <f t="shared" si="2"/>
        <v>45154</v>
      </c>
      <c r="D26" s="773">
        <v>1839</v>
      </c>
      <c r="E26" s="773">
        <v>63</v>
      </c>
      <c r="F26" s="773">
        <v>150</v>
      </c>
      <c r="G26" s="773">
        <v>0</v>
      </c>
      <c r="H26" s="773">
        <v>156</v>
      </c>
      <c r="I26" s="773">
        <v>29</v>
      </c>
      <c r="J26" s="214">
        <f t="shared" si="0"/>
        <v>2237</v>
      </c>
      <c r="K26" s="506">
        <f t="shared" si="1"/>
        <v>4431.58</v>
      </c>
      <c r="N26" s="35"/>
    </row>
    <row r="27" spans="3:14" x14ac:dyDescent="0.3">
      <c r="C27" s="36">
        <f t="shared" si="2"/>
        <v>45155</v>
      </c>
      <c r="D27" s="773">
        <v>1853</v>
      </c>
      <c r="E27" s="773">
        <v>66</v>
      </c>
      <c r="F27" s="773">
        <v>150</v>
      </c>
      <c r="G27" s="773">
        <v>23</v>
      </c>
      <c r="H27" s="773">
        <v>134</v>
      </c>
      <c r="I27" s="773">
        <v>0</v>
      </c>
      <c r="J27" s="214">
        <f t="shared" si="0"/>
        <v>2226</v>
      </c>
      <c r="K27" s="506">
        <f t="shared" si="1"/>
        <v>4407.4799999999996</v>
      </c>
      <c r="N27" s="35"/>
    </row>
    <row r="28" spans="3:14" x14ac:dyDescent="0.3">
      <c r="C28" s="36">
        <f t="shared" si="2"/>
        <v>45156</v>
      </c>
      <c r="D28" s="773">
        <v>1916</v>
      </c>
      <c r="E28" s="773">
        <v>66</v>
      </c>
      <c r="F28" s="773">
        <v>150</v>
      </c>
      <c r="G28" s="773">
        <v>23</v>
      </c>
      <c r="H28" s="773">
        <v>85</v>
      </c>
      <c r="I28" s="773">
        <v>0</v>
      </c>
      <c r="J28" s="214">
        <f t="shared" si="0"/>
        <v>2240</v>
      </c>
      <c r="K28" s="506">
        <f t="shared" si="1"/>
        <v>4435.2</v>
      </c>
      <c r="N28" s="35"/>
    </row>
    <row r="29" spans="3:14" x14ac:dyDescent="0.3">
      <c r="C29" s="36">
        <f t="shared" si="2"/>
        <v>45157</v>
      </c>
      <c r="D29" s="773">
        <v>1158</v>
      </c>
      <c r="E29" s="773">
        <v>45</v>
      </c>
      <c r="F29" s="773">
        <v>150</v>
      </c>
      <c r="G29" s="773">
        <v>0</v>
      </c>
      <c r="H29" s="773">
        <v>40</v>
      </c>
      <c r="I29" s="773">
        <v>0</v>
      </c>
      <c r="J29" s="214">
        <f t="shared" si="0"/>
        <v>1393</v>
      </c>
      <c r="K29" s="506">
        <f t="shared" si="1"/>
        <v>2758.14</v>
      </c>
      <c r="M29" s="267"/>
      <c r="N29" s="35"/>
    </row>
    <row r="30" spans="3:14" x14ac:dyDescent="0.3">
      <c r="C30" s="36">
        <f t="shared" si="2"/>
        <v>45158</v>
      </c>
      <c r="D30" s="773">
        <v>1163</v>
      </c>
      <c r="E30" s="773">
        <v>44</v>
      </c>
      <c r="F30" s="773">
        <v>150</v>
      </c>
      <c r="G30" s="773">
        <v>0</v>
      </c>
      <c r="H30" s="773">
        <v>52</v>
      </c>
      <c r="I30" s="773">
        <v>0</v>
      </c>
      <c r="J30" s="214">
        <f t="shared" si="0"/>
        <v>1409</v>
      </c>
      <c r="K30" s="506">
        <f t="shared" si="1"/>
        <v>2789.82</v>
      </c>
      <c r="M30" s="267"/>
      <c r="N30" s="35"/>
    </row>
    <row r="31" spans="3:14" x14ac:dyDescent="0.3">
      <c r="C31" s="36">
        <f t="shared" si="2"/>
        <v>45159</v>
      </c>
      <c r="D31" s="773">
        <v>1930</v>
      </c>
      <c r="E31" s="773">
        <v>66</v>
      </c>
      <c r="F31" s="773">
        <v>150</v>
      </c>
      <c r="G31" s="773">
        <v>24</v>
      </c>
      <c r="H31" s="773">
        <v>114</v>
      </c>
      <c r="I31" s="773">
        <v>0</v>
      </c>
      <c r="J31" s="214">
        <f t="shared" si="0"/>
        <v>2284</v>
      </c>
      <c r="K31" s="506">
        <f t="shared" si="1"/>
        <v>4522.32</v>
      </c>
      <c r="M31" s="267"/>
      <c r="N31" s="35"/>
    </row>
    <row r="32" spans="3:14" x14ac:dyDescent="0.3">
      <c r="C32" s="36">
        <f t="shared" si="2"/>
        <v>45160</v>
      </c>
      <c r="D32" s="773">
        <v>1883</v>
      </c>
      <c r="E32" s="773">
        <v>66</v>
      </c>
      <c r="F32" s="773">
        <v>150</v>
      </c>
      <c r="G32" s="773">
        <v>27</v>
      </c>
      <c r="H32" s="773">
        <v>134</v>
      </c>
      <c r="I32" s="773">
        <v>0</v>
      </c>
      <c r="J32" s="214">
        <f t="shared" si="0"/>
        <v>2260</v>
      </c>
      <c r="K32" s="506">
        <f t="shared" si="1"/>
        <v>4474.8</v>
      </c>
      <c r="M32" s="267"/>
      <c r="N32" s="35"/>
    </row>
    <row r="33" spans="2:14" x14ac:dyDescent="0.3">
      <c r="C33" s="36">
        <f t="shared" si="2"/>
        <v>45161</v>
      </c>
      <c r="D33" s="773">
        <v>1823</v>
      </c>
      <c r="E33" s="773">
        <v>68</v>
      </c>
      <c r="F33" s="773">
        <v>150</v>
      </c>
      <c r="G33" s="773">
        <v>23</v>
      </c>
      <c r="H33" s="773">
        <v>77</v>
      </c>
      <c r="I33" s="773">
        <v>0</v>
      </c>
      <c r="J33" s="214">
        <f t="shared" si="0"/>
        <v>2141</v>
      </c>
      <c r="K33" s="506">
        <f t="shared" si="1"/>
        <v>4239.18</v>
      </c>
      <c r="M33" s="267"/>
      <c r="N33" s="35"/>
    </row>
    <row r="34" spans="2:14" x14ac:dyDescent="0.3">
      <c r="C34" s="36">
        <f t="shared" si="2"/>
        <v>45162</v>
      </c>
      <c r="D34" s="773">
        <v>1680</v>
      </c>
      <c r="E34" s="773">
        <v>68</v>
      </c>
      <c r="F34" s="773">
        <v>150</v>
      </c>
      <c r="G34" s="773">
        <v>22</v>
      </c>
      <c r="H34" s="773">
        <v>77</v>
      </c>
      <c r="I34" s="773">
        <v>0</v>
      </c>
      <c r="J34" s="214">
        <f t="shared" si="0"/>
        <v>1997</v>
      </c>
      <c r="K34" s="506">
        <f t="shared" si="1"/>
        <v>3954.06</v>
      </c>
      <c r="M34" s="267"/>
      <c r="N34" s="35"/>
    </row>
    <row r="35" spans="2:14" x14ac:dyDescent="0.3">
      <c r="C35" s="36">
        <f t="shared" si="2"/>
        <v>45163</v>
      </c>
      <c r="D35" s="773">
        <v>1768</v>
      </c>
      <c r="E35" s="773">
        <v>68</v>
      </c>
      <c r="F35" s="773">
        <v>150</v>
      </c>
      <c r="G35" s="773">
        <v>22</v>
      </c>
      <c r="H35" s="773">
        <v>81</v>
      </c>
      <c r="I35" s="773">
        <v>0</v>
      </c>
      <c r="J35" s="214">
        <f t="shared" si="0"/>
        <v>2089</v>
      </c>
      <c r="K35" s="506">
        <f t="shared" si="1"/>
        <v>4136.22</v>
      </c>
      <c r="M35" s="267"/>
      <c r="N35" s="35"/>
    </row>
    <row r="36" spans="2:14" x14ac:dyDescent="0.3">
      <c r="C36" s="36">
        <f t="shared" si="2"/>
        <v>45164</v>
      </c>
      <c r="D36" s="773">
        <v>1199</v>
      </c>
      <c r="E36" s="773">
        <v>46</v>
      </c>
      <c r="F36" s="773">
        <v>149</v>
      </c>
      <c r="G36" s="773">
        <v>0</v>
      </c>
      <c r="H36" s="773">
        <v>42</v>
      </c>
      <c r="I36" s="773">
        <v>0</v>
      </c>
      <c r="J36" s="214">
        <f t="shared" si="0"/>
        <v>1436</v>
      </c>
      <c r="K36" s="506">
        <f t="shared" si="1"/>
        <v>2843.28</v>
      </c>
      <c r="M36" s="267"/>
      <c r="N36" s="35"/>
    </row>
    <row r="37" spans="2:14" x14ac:dyDescent="0.3">
      <c r="C37" s="36">
        <f t="shared" si="2"/>
        <v>45165</v>
      </c>
      <c r="D37" s="773">
        <v>1232</v>
      </c>
      <c r="E37" s="773">
        <v>46</v>
      </c>
      <c r="F37" s="773">
        <v>150</v>
      </c>
      <c r="G37" s="773">
        <v>0</v>
      </c>
      <c r="H37" s="773">
        <v>55</v>
      </c>
      <c r="I37" s="773">
        <v>0</v>
      </c>
      <c r="J37" s="214">
        <f t="shared" si="0"/>
        <v>1483</v>
      </c>
      <c r="K37" s="506">
        <f t="shared" si="1"/>
        <v>2936.34</v>
      </c>
      <c r="M37" s="267"/>
      <c r="N37" s="35"/>
    </row>
    <row r="38" spans="2:14" x14ac:dyDescent="0.3">
      <c r="C38" s="36">
        <f t="shared" si="2"/>
        <v>45166</v>
      </c>
      <c r="D38" s="773">
        <v>1903</v>
      </c>
      <c r="E38" s="773">
        <v>66</v>
      </c>
      <c r="F38" s="773">
        <v>147</v>
      </c>
      <c r="G38" s="773">
        <v>24</v>
      </c>
      <c r="H38" s="773">
        <v>82</v>
      </c>
      <c r="I38" s="773">
        <v>0</v>
      </c>
      <c r="J38" s="214">
        <f t="shared" si="0"/>
        <v>2222</v>
      </c>
      <c r="K38" s="506">
        <f t="shared" si="1"/>
        <v>4399.5600000000004</v>
      </c>
      <c r="M38" s="267"/>
      <c r="N38" s="35"/>
    </row>
    <row r="39" spans="2:14" x14ac:dyDescent="0.3">
      <c r="C39" s="36">
        <f t="shared" si="2"/>
        <v>45167</v>
      </c>
      <c r="D39" s="773">
        <v>1875</v>
      </c>
      <c r="E39" s="773">
        <v>64</v>
      </c>
      <c r="F39" s="773">
        <v>145</v>
      </c>
      <c r="G39" s="773">
        <v>29</v>
      </c>
      <c r="H39" s="773">
        <v>135</v>
      </c>
      <c r="I39" s="773">
        <v>0</v>
      </c>
      <c r="J39" s="500">
        <f t="shared" si="0"/>
        <v>2248</v>
      </c>
      <c r="K39" s="506">
        <f t="shared" si="1"/>
        <v>4451.04</v>
      </c>
      <c r="M39" s="267"/>
      <c r="N39" s="35"/>
    </row>
    <row r="40" spans="2:14" x14ac:dyDescent="0.3">
      <c r="C40" s="36">
        <f t="shared" si="2"/>
        <v>45168</v>
      </c>
      <c r="D40" s="773">
        <v>1900</v>
      </c>
      <c r="E40" s="773">
        <v>64</v>
      </c>
      <c r="F40" s="773">
        <v>145</v>
      </c>
      <c r="G40" s="773">
        <v>27</v>
      </c>
      <c r="H40" s="773">
        <v>122</v>
      </c>
      <c r="I40" s="773">
        <v>0</v>
      </c>
      <c r="J40" s="500">
        <f t="shared" si="0"/>
        <v>2258</v>
      </c>
      <c r="K40" s="506">
        <f t="shared" si="1"/>
        <v>4470.84</v>
      </c>
      <c r="M40" s="267"/>
      <c r="N40" s="35"/>
    </row>
    <row r="41" spans="2:14" x14ac:dyDescent="0.3">
      <c r="C41" s="36">
        <f t="shared" si="2"/>
        <v>45169</v>
      </c>
      <c r="D41" s="778">
        <v>1859</v>
      </c>
      <c r="E41" s="778">
        <v>64</v>
      </c>
      <c r="F41" s="778">
        <v>149</v>
      </c>
      <c r="G41" s="778">
        <v>0</v>
      </c>
      <c r="H41" s="778">
        <v>110</v>
      </c>
      <c r="I41" s="778">
        <v>23</v>
      </c>
      <c r="J41" s="500">
        <f>SUM(D41:I41)</f>
        <v>2205</v>
      </c>
      <c r="K41" s="506">
        <f t="shared" si="1"/>
        <v>4367.74</v>
      </c>
      <c r="M41" s="35"/>
      <c r="N41" s="35"/>
    </row>
    <row r="42" spans="2:14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  <c r="N42" s="35"/>
    </row>
    <row r="43" spans="2:14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4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38">
        <f>'Facility Requested Meals + Bulk'!BM16+'Facility Requested Meals + Bulk'!BM33+'Facility Requested Meals + Bulk'!BM50+'Facility Requested Meals + Bulk'!BM67+'Facility Requested Meals + Bulk'!BM84</f>
        <v>6735.3300000000008</v>
      </c>
    </row>
    <row r="45" spans="2:14" x14ac:dyDescent="0.3">
      <c r="C45" s="36" t="s">
        <v>556</v>
      </c>
      <c r="D45" s="192"/>
      <c r="E45" s="192"/>
      <c r="F45" s="192"/>
      <c r="G45" s="192"/>
      <c r="H45" s="192"/>
      <c r="I45" s="192"/>
      <c r="J45" s="192"/>
      <c r="K45" s="853">
        <v>0</v>
      </c>
    </row>
    <row r="46" spans="2:14" x14ac:dyDescent="0.3">
      <c r="C46" s="36" t="s">
        <v>581</v>
      </c>
      <c r="D46" s="192"/>
      <c r="E46" s="192"/>
      <c r="F46" s="192"/>
      <c r="G46" s="192"/>
      <c r="H46" s="192"/>
      <c r="I46" s="192"/>
      <c r="J46" s="192"/>
      <c r="K46" s="251">
        <v>0</v>
      </c>
    </row>
    <row r="47" spans="2:14" x14ac:dyDescent="0.3">
      <c r="B47" t="s">
        <v>173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275">
        <f>'August - EE Credits FY23  '!O10</f>
        <v>0</v>
      </c>
    </row>
    <row r="48" spans="2:14" x14ac:dyDescent="0.3">
      <c r="B48" t="s">
        <v>173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252">
        <f>'August - EE Credits FY23  '!P10</f>
        <v>0</v>
      </c>
    </row>
    <row r="49" spans="2:12" x14ac:dyDescent="0.3">
      <c r="B49" t="s">
        <v>173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252">
        <v>0</v>
      </c>
    </row>
    <row r="50" spans="2:12" x14ac:dyDescent="0.3">
      <c r="B50" t="s">
        <v>173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252">
        <f>'State to ARA Charge Aug FY23'!CK88</f>
        <v>0</v>
      </c>
    </row>
    <row r="51" spans="2:12" x14ac:dyDescent="0.3">
      <c r="C51" s="36" t="s">
        <v>638</v>
      </c>
      <c r="D51" s="192"/>
      <c r="E51" s="192"/>
      <c r="F51" s="192"/>
      <c r="G51" s="192"/>
      <c r="H51" s="192"/>
      <c r="I51" s="192"/>
      <c r="J51" s="192"/>
      <c r="K51" s="251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223">
        <v>0</v>
      </c>
    </row>
    <row r="53" spans="2:12" x14ac:dyDescent="0.3">
      <c r="C53" s="225"/>
      <c r="D53" s="226"/>
      <c r="E53" s="226"/>
      <c r="F53" s="226"/>
      <c r="G53" s="226"/>
      <c r="H53" s="226"/>
      <c r="I53" s="226"/>
      <c r="J53" s="226"/>
      <c r="K53" s="540">
        <f>SUM(K44:K52)</f>
        <v>6735.3300000000008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3">
      <c r="C57" s="42" t="s">
        <v>13</v>
      </c>
      <c r="D57" s="212">
        <f>SUM(D11:D41)</f>
        <v>52622</v>
      </c>
      <c r="E57" s="212">
        <f t="shared" ref="E57:J57" si="4">SUM(E11:E41)</f>
        <v>1913</v>
      </c>
      <c r="F57" s="212">
        <f t="shared" si="4"/>
        <v>4557</v>
      </c>
      <c r="G57" s="212">
        <f t="shared" si="4"/>
        <v>244</v>
      </c>
      <c r="H57" s="212">
        <f t="shared" si="4"/>
        <v>2811</v>
      </c>
      <c r="I57" s="212">
        <f t="shared" si="4"/>
        <v>308</v>
      </c>
      <c r="J57" s="212">
        <f t="shared" si="4"/>
        <v>62455</v>
      </c>
      <c r="K57" s="168">
        <f>(SUM(D57:H57)*1.98)+(I57*2.06)</f>
        <v>123685.54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130420.87</v>
      </c>
      <c r="L59" s="41"/>
    </row>
    <row r="67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5" max="11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5:O68"/>
  <sheetViews>
    <sheetView showGridLines="0" topLeftCell="A34" zoomScale="90" zoomScaleNormal="90" workbookViewId="0">
      <selection activeCell="I11" sqref="I11:I41"/>
    </sheetView>
  </sheetViews>
  <sheetFormatPr defaultRowHeight="14.4" x14ac:dyDescent="0.3"/>
  <cols>
    <col min="2" max="2" width="8" customWidth="1"/>
    <col min="3" max="3" width="12.109375" customWidth="1"/>
    <col min="4" max="9" width="18" customWidth="1"/>
    <col min="10" max="10" width="13.109375" bestFit="1" customWidth="1"/>
    <col min="11" max="11" width="15.109375" bestFit="1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158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159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>
        <v>1306</v>
      </c>
      <c r="E11" s="500">
        <v>36</v>
      </c>
      <c r="F11" s="500">
        <v>109</v>
      </c>
      <c r="G11" s="500">
        <v>0</v>
      </c>
      <c r="H11" s="500">
        <v>7</v>
      </c>
      <c r="I11" s="774">
        <v>13</v>
      </c>
      <c r="J11" s="213">
        <f>SUM(D11:I11)</f>
        <v>1471</v>
      </c>
      <c r="K11" s="506">
        <f>(SUM(D11:H11)*1.98)+(I11*2.06)</f>
        <v>2913.6200000000003</v>
      </c>
      <c r="M11" s="35"/>
      <c r="N11" s="35"/>
    </row>
    <row r="12" spans="2:14" x14ac:dyDescent="0.3">
      <c r="C12" s="36">
        <f>IF(C11+1&lt;=$C$8,C11+1,0)</f>
        <v>45140</v>
      </c>
      <c r="D12" s="500">
        <v>1464</v>
      </c>
      <c r="E12" s="500">
        <v>36</v>
      </c>
      <c r="F12" s="500">
        <v>111</v>
      </c>
      <c r="G12" s="500">
        <v>0</v>
      </c>
      <c r="H12" s="500">
        <v>6</v>
      </c>
      <c r="I12" s="773">
        <v>11</v>
      </c>
      <c r="J12" s="214">
        <f t="shared" ref="J12:J40" si="0">SUM(D12:I12)</f>
        <v>1628</v>
      </c>
      <c r="K12" s="506">
        <f t="shared" ref="K12:K41" si="1">(SUM(D12:H12)*1.98)+(I12*2.06)</f>
        <v>3224.3199999999997</v>
      </c>
    </row>
    <row r="13" spans="2:14" x14ac:dyDescent="0.3">
      <c r="C13" s="36">
        <f t="shared" ref="C13:C41" si="2">IF(C12+1&lt;=$C$8,C12+1,0)</f>
        <v>45141</v>
      </c>
      <c r="D13" s="500">
        <v>1280</v>
      </c>
      <c r="E13" s="500">
        <v>35</v>
      </c>
      <c r="F13" s="500">
        <v>109</v>
      </c>
      <c r="G13" s="500">
        <v>0</v>
      </c>
      <c r="H13" s="500">
        <v>15</v>
      </c>
      <c r="I13" s="773">
        <v>15</v>
      </c>
      <c r="J13" s="214">
        <f t="shared" si="0"/>
        <v>1454</v>
      </c>
      <c r="K13" s="506">
        <f t="shared" si="1"/>
        <v>2880.12</v>
      </c>
    </row>
    <row r="14" spans="2:14" x14ac:dyDescent="0.3">
      <c r="C14" s="36">
        <f t="shared" si="2"/>
        <v>45142</v>
      </c>
      <c r="D14" s="500">
        <v>930</v>
      </c>
      <c r="E14" s="500">
        <v>33</v>
      </c>
      <c r="F14" s="500">
        <v>105</v>
      </c>
      <c r="G14" s="500">
        <v>0</v>
      </c>
      <c r="H14" s="500">
        <v>9</v>
      </c>
      <c r="I14" s="773">
        <v>10</v>
      </c>
      <c r="J14" s="214">
        <f t="shared" si="0"/>
        <v>1087</v>
      </c>
      <c r="K14" s="506">
        <f t="shared" si="1"/>
        <v>2153.06</v>
      </c>
      <c r="L14" s="3"/>
    </row>
    <row r="15" spans="2:14" x14ac:dyDescent="0.3">
      <c r="C15" s="36">
        <f t="shared" si="2"/>
        <v>45143</v>
      </c>
      <c r="D15" s="500">
        <v>835</v>
      </c>
      <c r="E15" s="500">
        <v>22</v>
      </c>
      <c r="F15" s="500">
        <v>70</v>
      </c>
      <c r="G15" s="500">
        <v>0</v>
      </c>
      <c r="H15" s="500">
        <v>0</v>
      </c>
      <c r="I15" s="773">
        <v>35</v>
      </c>
      <c r="J15" s="214">
        <f t="shared" si="0"/>
        <v>962</v>
      </c>
      <c r="K15" s="506">
        <f t="shared" si="1"/>
        <v>1907.56</v>
      </c>
    </row>
    <row r="16" spans="2:14" x14ac:dyDescent="0.3">
      <c r="C16" s="36">
        <f t="shared" si="2"/>
        <v>45144</v>
      </c>
      <c r="D16" s="500">
        <v>862</v>
      </c>
      <c r="E16" s="500">
        <v>22</v>
      </c>
      <c r="F16" s="500">
        <v>70</v>
      </c>
      <c r="G16" s="500">
        <v>0</v>
      </c>
      <c r="H16" s="500">
        <v>6</v>
      </c>
      <c r="I16" s="773">
        <v>35</v>
      </c>
      <c r="J16" s="214">
        <f t="shared" si="0"/>
        <v>995</v>
      </c>
      <c r="K16" s="506">
        <f t="shared" si="1"/>
        <v>1972.8999999999999</v>
      </c>
    </row>
    <row r="17" spans="3:11" x14ac:dyDescent="0.3">
      <c r="C17" s="36">
        <f t="shared" si="2"/>
        <v>45145</v>
      </c>
      <c r="D17" s="500">
        <v>1191</v>
      </c>
      <c r="E17" s="500">
        <v>33</v>
      </c>
      <c r="F17" s="500">
        <v>105</v>
      </c>
      <c r="G17" s="500">
        <v>0</v>
      </c>
      <c r="H17" s="500">
        <v>8</v>
      </c>
      <c r="I17" s="773">
        <v>19</v>
      </c>
      <c r="J17" s="214">
        <f t="shared" si="0"/>
        <v>1356</v>
      </c>
      <c r="K17" s="506">
        <f t="shared" si="1"/>
        <v>2686.3999999999996</v>
      </c>
    </row>
    <row r="18" spans="3:11" x14ac:dyDescent="0.3">
      <c r="C18" s="36">
        <f t="shared" si="2"/>
        <v>45146</v>
      </c>
      <c r="D18" s="500">
        <v>1202</v>
      </c>
      <c r="E18" s="500">
        <v>33</v>
      </c>
      <c r="F18" s="500">
        <v>106</v>
      </c>
      <c r="G18" s="500">
        <v>0</v>
      </c>
      <c r="H18" s="500">
        <v>13</v>
      </c>
      <c r="I18" s="773">
        <v>34</v>
      </c>
      <c r="J18" s="214">
        <f t="shared" si="0"/>
        <v>1388</v>
      </c>
      <c r="K18" s="506">
        <f t="shared" si="1"/>
        <v>2750.96</v>
      </c>
    </row>
    <row r="19" spans="3:11" x14ac:dyDescent="0.3">
      <c r="C19" s="36">
        <f t="shared" si="2"/>
        <v>45147</v>
      </c>
      <c r="D19" s="500">
        <v>1523</v>
      </c>
      <c r="E19" s="500">
        <v>30</v>
      </c>
      <c r="F19" s="500">
        <v>114</v>
      </c>
      <c r="G19" s="500">
        <v>0</v>
      </c>
      <c r="H19" s="500">
        <v>14</v>
      </c>
      <c r="I19" s="773">
        <v>38</v>
      </c>
      <c r="J19" s="214">
        <f t="shared" si="0"/>
        <v>1719</v>
      </c>
      <c r="K19" s="506">
        <f t="shared" si="1"/>
        <v>3406.6600000000003</v>
      </c>
    </row>
    <row r="20" spans="3:11" x14ac:dyDescent="0.3">
      <c r="C20" s="36">
        <f t="shared" si="2"/>
        <v>45148</v>
      </c>
      <c r="D20" s="500">
        <v>1136</v>
      </c>
      <c r="E20" s="500">
        <v>30</v>
      </c>
      <c r="F20" s="500">
        <v>112</v>
      </c>
      <c r="G20" s="500">
        <v>0</v>
      </c>
      <c r="H20" s="500">
        <v>7</v>
      </c>
      <c r="I20" s="773">
        <v>34</v>
      </c>
      <c r="J20" s="214">
        <f t="shared" si="0"/>
        <v>1319</v>
      </c>
      <c r="K20" s="506">
        <f t="shared" si="1"/>
        <v>2614.34</v>
      </c>
    </row>
    <row r="21" spans="3:11" x14ac:dyDescent="0.3">
      <c r="C21" s="36">
        <f t="shared" si="2"/>
        <v>45149</v>
      </c>
      <c r="D21" s="500">
        <v>1138</v>
      </c>
      <c r="E21" s="500">
        <v>30</v>
      </c>
      <c r="F21" s="500">
        <v>108</v>
      </c>
      <c r="G21" s="500">
        <v>0</v>
      </c>
      <c r="H21" s="500">
        <v>5</v>
      </c>
      <c r="I21" s="773">
        <v>7</v>
      </c>
      <c r="J21" s="214">
        <f t="shared" si="0"/>
        <v>1288</v>
      </c>
      <c r="K21" s="506">
        <f t="shared" si="1"/>
        <v>2550.8000000000002</v>
      </c>
    </row>
    <row r="22" spans="3:11" x14ac:dyDescent="0.3">
      <c r="C22" s="36">
        <f t="shared" si="2"/>
        <v>45150</v>
      </c>
      <c r="D22" s="500">
        <v>741</v>
      </c>
      <c r="E22" s="500">
        <v>20</v>
      </c>
      <c r="F22" s="500">
        <v>72</v>
      </c>
      <c r="G22" s="500">
        <v>0</v>
      </c>
      <c r="H22" s="500">
        <v>0</v>
      </c>
      <c r="I22" s="773">
        <v>0</v>
      </c>
      <c r="J22" s="214">
        <f t="shared" si="0"/>
        <v>833</v>
      </c>
      <c r="K22" s="506">
        <f t="shared" si="1"/>
        <v>1649.34</v>
      </c>
    </row>
    <row r="23" spans="3:11" x14ac:dyDescent="0.3">
      <c r="C23" s="36">
        <f t="shared" si="2"/>
        <v>45151</v>
      </c>
      <c r="D23" s="500">
        <v>718</v>
      </c>
      <c r="E23" s="500">
        <v>20</v>
      </c>
      <c r="F23" s="500">
        <v>72</v>
      </c>
      <c r="G23" s="500">
        <v>0</v>
      </c>
      <c r="H23" s="500">
        <v>0</v>
      </c>
      <c r="I23" s="773">
        <v>0</v>
      </c>
      <c r="J23" s="214">
        <f t="shared" si="0"/>
        <v>810</v>
      </c>
      <c r="K23" s="506">
        <f t="shared" si="1"/>
        <v>1603.8</v>
      </c>
    </row>
    <row r="24" spans="3:11" x14ac:dyDescent="0.3">
      <c r="C24" s="36">
        <f t="shared" si="2"/>
        <v>45152</v>
      </c>
      <c r="D24" s="500">
        <v>1136</v>
      </c>
      <c r="E24" s="500">
        <v>30</v>
      </c>
      <c r="F24" s="500">
        <v>108</v>
      </c>
      <c r="G24" s="500">
        <v>0</v>
      </c>
      <c r="H24" s="500">
        <v>9</v>
      </c>
      <c r="I24" s="773">
        <v>30</v>
      </c>
      <c r="J24" s="214">
        <f t="shared" si="0"/>
        <v>1313</v>
      </c>
      <c r="K24" s="506">
        <f t="shared" si="1"/>
        <v>2602.1400000000003</v>
      </c>
    </row>
    <row r="25" spans="3:11" x14ac:dyDescent="0.3">
      <c r="C25" s="36">
        <f t="shared" si="2"/>
        <v>45153</v>
      </c>
      <c r="D25" s="773">
        <v>1245</v>
      </c>
      <c r="E25" s="773">
        <v>30</v>
      </c>
      <c r="F25" s="773">
        <v>108</v>
      </c>
      <c r="G25" s="773">
        <v>0</v>
      </c>
      <c r="H25" s="773">
        <v>11</v>
      </c>
      <c r="I25" s="773">
        <v>3</v>
      </c>
      <c r="J25" s="214">
        <f t="shared" si="0"/>
        <v>1397</v>
      </c>
      <c r="K25" s="506">
        <f t="shared" si="1"/>
        <v>2766.2999999999997</v>
      </c>
    </row>
    <row r="26" spans="3:11" x14ac:dyDescent="0.3">
      <c r="C26" s="36">
        <f t="shared" si="2"/>
        <v>45154</v>
      </c>
      <c r="D26" s="773">
        <v>1174</v>
      </c>
      <c r="E26" s="773">
        <v>30</v>
      </c>
      <c r="F26" s="773">
        <v>108</v>
      </c>
      <c r="G26" s="773">
        <v>0</v>
      </c>
      <c r="H26" s="773">
        <v>10</v>
      </c>
      <c r="I26" s="773">
        <v>1</v>
      </c>
      <c r="J26" s="214">
        <f t="shared" si="0"/>
        <v>1323</v>
      </c>
      <c r="K26" s="506">
        <f t="shared" si="1"/>
        <v>2619.62</v>
      </c>
    </row>
    <row r="27" spans="3:11" x14ac:dyDescent="0.3">
      <c r="C27" s="36">
        <f t="shared" si="2"/>
        <v>45155</v>
      </c>
      <c r="D27" s="773">
        <v>1457</v>
      </c>
      <c r="E27" s="773">
        <v>30</v>
      </c>
      <c r="F27" s="773">
        <v>108</v>
      </c>
      <c r="G27" s="773">
        <v>0</v>
      </c>
      <c r="H27" s="773">
        <v>12</v>
      </c>
      <c r="I27" s="773">
        <v>22</v>
      </c>
      <c r="J27" s="214">
        <f t="shared" si="0"/>
        <v>1629</v>
      </c>
      <c r="K27" s="506">
        <f t="shared" si="1"/>
        <v>3227.1800000000003</v>
      </c>
    </row>
    <row r="28" spans="3:11" x14ac:dyDescent="0.3">
      <c r="C28" s="36">
        <f t="shared" si="2"/>
        <v>45156</v>
      </c>
      <c r="D28" s="773">
        <v>1204</v>
      </c>
      <c r="E28" s="773">
        <v>30</v>
      </c>
      <c r="F28" s="773">
        <v>108</v>
      </c>
      <c r="G28" s="773">
        <v>0</v>
      </c>
      <c r="H28" s="773">
        <v>12</v>
      </c>
      <c r="I28" s="773">
        <v>12</v>
      </c>
      <c r="J28" s="214">
        <f t="shared" si="0"/>
        <v>1366</v>
      </c>
      <c r="K28" s="506">
        <f t="shared" si="1"/>
        <v>2705.64</v>
      </c>
    </row>
    <row r="29" spans="3:11" x14ac:dyDescent="0.3">
      <c r="C29" s="36">
        <f t="shared" si="2"/>
        <v>45157</v>
      </c>
      <c r="D29" s="773">
        <v>830</v>
      </c>
      <c r="E29" s="773">
        <v>20</v>
      </c>
      <c r="F29" s="773">
        <v>72</v>
      </c>
      <c r="G29" s="773">
        <v>0</v>
      </c>
      <c r="H29" s="773">
        <v>0</v>
      </c>
      <c r="I29" s="773">
        <v>5</v>
      </c>
      <c r="J29" s="214">
        <f t="shared" si="0"/>
        <v>927</v>
      </c>
      <c r="K29" s="506">
        <f t="shared" si="1"/>
        <v>1835.86</v>
      </c>
    </row>
    <row r="30" spans="3:11" x14ac:dyDescent="0.3">
      <c r="C30" s="36">
        <f t="shared" si="2"/>
        <v>45158</v>
      </c>
      <c r="D30" s="773">
        <v>844</v>
      </c>
      <c r="E30" s="773">
        <v>20</v>
      </c>
      <c r="F30" s="773">
        <v>72</v>
      </c>
      <c r="G30" s="773">
        <v>0</v>
      </c>
      <c r="H30" s="773">
        <v>0</v>
      </c>
      <c r="I30" s="773">
        <v>0</v>
      </c>
      <c r="J30" s="214">
        <f t="shared" si="0"/>
        <v>936</v>
      </c>
      <c r="K30" s="506">
        <f t="shared" si="1"/>
        <v>1853.28</v>
      </c>
    </row>
    <row r="31" spans="3:11" x14ac:dyDescent="0.3">
      <c r="C31" s="36">
        <f t="shared" si="2"/>
        <v>45159</v>
      </c>
      <c r="D31" s="773">
        <v>1182</v>
      </c>
      <c r="E31" s="773">
        <v>30</v>
      </c>
      <c r="F31" s="773">
        <v>108</v>
      </c>
      <c r="G31" s="773">
        <v>0</v>
      </c>
      <c r="H31" s="773">
        <v>9</v>
      </c>
      <c r="I31" s="773">
        <v>13</v>
      </c>
      <c r="J31" s="214">
        <f t="shared" si="0"/>
        <v>1342</v>
      </c>
      <c r="K31" s="506">
        <f t="shared" si="1"/>
        <v>2658.2000000000003</v>
      </c>
    </row>
    <row r="32" spans="3:11" x14ac:dyDescent="0.3">
      <c r="C32" s="36">
        <f t="shared" si="2"/>
        <v>45160</v>
      </c>
      <c r="D32" s="773">
        <v>1250</v>
      </c>
      <c r="E32" s="773">
        <v>30</v>
      </c>
      <c r="F32" s="773">
        <v>109</v>
      </c>
      <c r="G32" s="773">
        <v>0</v>
      </c>
      <c r="H32" s="773">
        <v>9</v>
      </c>
      <c r="I32" s="773">
        <v>24</v>
      </c>
      <c r="J32" s="214">
        <f t="shared" si="0"/>
        <v>1422</v>
      </c>
      <c r="K32" s="506">
        <f t="shared" si="1"/>
        <v>2817.48</v>
      </c>
    </row>
    <row r="33" spans="2:11" x14ac:dyDescent="0.3">
      <c r="C33" s="36">
        <f t="shared" si="2"/>
        <v>45161</v>
      </c>
      <c r="D33" s="773">
        <v>1330</v>
      </c>
      <c r="E33" s="773">
        <v>30</v>
      </c>
      <c r="F33" s="773">
        <v>110</v>
      </c>
      <c r="G33" s="773">
        <v>0</v>
      </c>
      <c r="H33" s="773">
        <v>5</v>
      </c>
      <c r="I33" s="773">
        <v>28</v>
      </c>
      <c r="J33" s="214">
        <f t="shared" si="0"/>
        <v>1503</v>
      </c>
      <c r="K33" s="506">
        <f t="shared" si="1"/>
        <v>2978.18</v>
      </c>
    </row>
    <row r="34" spans="2:11" x14ac:dyDescent="0.3">
      <c r="C34" s="36">
        <f t="shared" si="2"/>
        <v>45162</v>
      </c>
      <c r="D34" s="773">
        <v>850</v>
      </c>
      <c r="E34" s="773">
        <v>20</v>
      </c>
      <c r="F34" s="773">
        <v>74</v>
      </c>
      <c r="G34" s="773">
        <v>0</v>
      </c>
      <c r="H34" s="773">
        <v>8</v>
      </c>
      <c r="I34" s="773">
        <v>572</v>
      </c>
      <c r="J34" s="214">
        <f t="shared" si="0"/>
        <v>1524</v>
      </c>
      <c r="K34" s="506">
        <f t="shared" si="1"/>
        <v>3063.2799999999997</v>
      </c>
    </row>
    <row r="35" spans="2:11" x14ac:dyDescent="0.3">
      <c r="C35" s="36">
        <f t="shared" si="2"/>
        <v>45163</v>
      </c>
      <c r="D35" s="773">
        <v>1071</v>
      </c>
      <c r="E35" s="773">
        <v>20</v>
      </c>
      <c r="F35" s="773">
        <v>74</v>
      </c>
      <c r="G35" s="773">
        <v>0</v>
      </c>
      <c r="H35" s="773">
        <v>0</v>
      </c>
      <c r="I35" s="773">
        <v>596</v>
      </c>
      <c r="J35" s="214">
        <f t="shared" si="0"/>
        <v>1761</v>
      </c>
      <c r="K35" s="506">
        <f t="shared" si="1"/>
        <v>3534.46</v>
      </c>
    </row>
    <row r="36" spans="2:11" x14ac:dyDescent="0.3">
      <c r="C36" s="36">
        <f t="shared" si="2"/>
        <v>45164</v>
      </c>
      <c r="D36" s="773">
        <v>749</v>
      </c>
      <c r="E36" s="773">
        <v>20</v>
      </c>
      <c r="F36" s="773">
        <v>102</v>
      </c>
      <c r="G36" s="773">
        <v>0</v>
      </c>
      <c r="H36" s="773">
        <v>0</v>
      </c>
      <c r="I36" s="773">
        <v>0</v>
      </c>
      <c r="J36" s="214">
        <f t="shared" si="0"/>
        <v>871</v>
      </c>
      <c r="K36" s="506">
        <f t="shared" si="1"/>
        <v>1724.58</v>
      </c>
    </row>
    <row r="37" spans="2:11" x14ac:dyDescent="0.3">
      <c r="C37" s="36">
        <f t="shared" si="2"/>
        <v>45165</v>
      </c>
      <c r="D37" s="773">
        <v>872</v>
      </c>
      <c r="E37" s="773">
        <v>20</v>
      </c>
      <c r="F37" s="773">
        <v>102</v>
      </c>
      <c r="G37" s="773">
        <v>0</v>
      </c>
      <c r="H37" s="773">
        <v>2</v>
      </c>
      <c r="I37" s="773">
        <v>0</v>
      </c>
      <c r="J37" s="214">
        <f t="shared" si="0"/>
        <v>996</v>
      </c>
      <c r="K37" s="506">
        <f t="shared" si="1"/>
        <v>1972.08</v>
      </c>
    </row>
    <row r="38" spans="2:11" x14ac:dyDescent="0.3">
      <c r="C38" s="36">
        <f t="shared" si="2"/>
        <v>45166</v>
      </c>
      <c r="D38" s="773">
        <v>1185</v>
      </c>
      <c r="E38" s="773">
        <v>30</v>
      </c>
      <c r="F38" s="773">
        <v>102</v>
      </c>
      <c r="G38" s="773">
        <v>0</v>
      </c>
      <c r="H38" s="773">
        <v>2</v>
      </c>
      <c r="I38" s="773">
        <v>21</v>
      </c>
      <c r="J38" s="214">
        <f t="shared" si="0"/>
        <v>1340</v>
      </c>
      <c r="K38" s="506">
        <f t="shared" si="1"/>
        <v>2654.88</v>
      </c>
    </row>
    <row r="39" spans="2:11" x14ac:dyDescent="0.3">
      <c r="C39" s="36">
        <f t="shared" si="2"/>
        <v>45167</v>
      </c>
      <c r="D39" s="773">
        <v>1234</v>
      </c>
      <c r="E39" s="773">
        <v>30</v>
      </c>
      <c r="F39" s="773">
        <v>102</v>
      </c>
      <c r="G39" s="773">
        <v>0</v>
      </c>
      <c r="H39" s="773">
        <v>0</v>
      </c>
      <c r="I39" s="773">
        <v>23</v>
      </c>
      <c r="J39" s="500">
        <f t="shared" si="0"/>
        <v>1389</v>
      </c>
      <c r="K39" s="506">
        <f t="shared" si="1"/>
        <v>2752.06</v>
      </c>
    </row>
    <row r="40" spans="2:11" x14ac:dyDescent="0.3">
      <c r="C40" s="36">
        <f t="shared" si="2"/>
        <v>45168</v>
      </c>
      <c r="D40" s="773">
        <v>1279</v>
      </c>
      <c r="E40" s="773">
        <v>30</v>
      </c>
      <c r="F40" s="773">
        <v>102</v>
      </c>
      <c r="G40" s="773">
        <v>0</v>
      </c>
      <c r="H40" s="773">
        <v>3</v>
      </c>
      <c r="I40" s="773">
        <v>26</v>
      </c>
      <c r="J40" s="500">
        <f t="shared" si="0"/>
        <v>1440</v>
      </c>
      <c r="K40" s="506">
        <f t="shared" si="1"/>
        <v>2853.2799999999997</v>
      </c>
    </row>
    <row r="41" spans="2:11" x14ac:dyDescent="0.3">
      <c r="C41" s="36">
        <f t="shared" si="2"/>
        <v>45169</v>
      </c>
      <c r="D41" s="778">
        <v>1422</v>
      </c>
      <c r="E41" s="778">
        <v>30</v>
      </c>
      <c r="F41" s="778">
        <v>102</v>
      </c>
      <c r="G41" s="778">
        <v>0</v>
      </c>
      <c r="H41" s="778">
        <v>7</v>
      </c>
      <c r="I41" s="778">
        <v>115</v>
      </c>
      <c r="J41" s="500">
        <f>SUM(D41:I41)</f>
        <v>1676</v>
      </c>
      <c r="K41" s="506">
        <f t="shared" si="1"/>
        <v>3327.68</v>
      </c>
    </row>
    <row r="42" spans="2:11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1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1" x14ac:dyDescent="0.3">
      <c r="C44" s="36" t="s">
        <v>197</v>
      </c>
      <c r="D44" s="192"/>
      <c r="E44" s="192"/>
      <c r="F44" s="192"/>
      <c r="G44" s="192"/>
      <c r="H44" s="192"/>
      <c r="I44" s="214"/>
      <c r="J44" s="192"/>
      <c r="K44" s="545">
        <f>'Facility Requested Meals + Bulk'!AO28+'Facility Requested Meals + Bulk'!AO40+'Facility Requested Meals + Bulk'!AO67+'Facility Requested Meals + Bulk'!AO81+'Facility Requested Meals + Bulk'!AO94</f>
        <v>3142.82</v>
      </c>
    </row>
    <row r="45" spans="2:11" x14ac:dyDescent="0.3">
      <c r="C45" s="36" t="s">
        <v>581</v>
      </c>
      <c r="D45" s="192"/>
      <c r="E45" s="192"/>
      <c r="F45" s="192"/>
      <c r="G45" s="192"/>
      <c r="H45" s="192"/>
      <c r="I45" s="214"/>
      <c r="J45" s="192"/>
      <c r="K45" s="168">
        <v>0</v>
      </c>
    </row>
    <row r="46" spans="2:11" x14ac:dyDescent="0.3">
      <c r="C46" s="36" t="s">
        <v>184</v>
      </c>
      <c r="D46" s="192"/>
      <c r="E46" s="192"/>
      <c r="F46" s="192"/>
      <c r="G46" s="192"/>
      <c r="H46" s="192"/>
      <c r="I46" s="214"/>
      <c r="J46" s="192"/>
      <c r="K46" s="38">
        <v>0</v>
      </c>
    </row>
    <row r="47" spans="2:11" x14ac:dyDescent="0.3">
      <c r="B47" t="s">
        <v>223</v>
      </c>
      <c r="C47" s="36" t="s">
        <v>185</v>
      </c>
      <c r="D47" s="192"/>
      <c r="E47" s="192"/>
      <c r="F47" s="192"/>
      <c r="G47" s="192"/>
      <c r="H47" s="192"/>
      <c r="I47" s="214"/>
      <c r="J47" s="192"/>
      <c r="K47" s="252">
        <f>-'August - EE Credits FY23  '!O12</f>
        <v>0</v>
      </c>
    </row>
    <row r="48" spans="2:11" x14ac:dyDescent="0.3">
      <c r="B48" t="s">
        <v>223</v>
      </c>
      <c r="C48" s="36" t="s">
        <v>232</v>
      </c>
      <c r="D48" s="192"/>
      <c r="E48" s="192"/>
      <c r="F48" s="192"/>
      <c r="G48" s="192"/>
      <c r="H48" s="192"/>
      <c r="I48" s="214"/>
      <c r="J48" s="192"/>
      <c r="K48" s="252">
        <f>-'August - EE Credits FY23  '!P12</f>
        <v>0</v>
      </c>
    </row>
    <row r="49" spans="2:15" x14ac:dyDescent="0.3">
      <c r="B49" t="s">
        <v>223</v>
      </c>
      <c r="C49" s="36" t="s">
        <v>245</v>
      </c>
      <c r="D49" s="192"/>
      <c r="E49" s="192"/>
      <c r="F49" s="192"/>
      <c r="G49" s="192"/>
      <c r="H49" s="192"/>
      <c r="I49" s="214"/>
      <c r="J49" s="192"/>
      <c r="K49" s="252">
        <v>0</v>
      </c>
    </row>
    <row r="50" spans="2:15" x14ac:dyDescent="0.3">
      <c r="B50" t="s">
        <v>223</v>
      </c>
      <c r="C50" s="36" t="s">
        <v>243</v>
      </c>
      <c r="D50" s="192"/>
      <c r="E50" s="192"/>
      <c r="F50" s="192"/>
      <c r="G50" s="192"/>
      <c r="H50" s="192"/>
      <c r="I50" s="214"/>
      <c r="J50" s="192"/>
      <c r="K50" s="252">
        <f>'State to ARA Charge Aug FY23'!AI90</f>
        <v>0</v>
      </c>
    </row>
    <row r="51" spans="2:15" x14ac:dyDescent="0.3">
      <c r="C51" s="36" t="s">
        <v>671</v>
      </c>
      <c r="D51" s="192"/>
      <c r="E51" s="192"/>
      <c r="F51" s="192"/>
      <c r="G51" s="192"/>
      <c r="H51" s="192"/>
      <c r="I51" s="192"/>
      <c r="J51" s="192"/>
      <c r="K51" s="251">
        <v>0</v>
      </c>
    </row>
    <row r="52" spans="2:15" x14ac:dyDescent="0.3">
      <c r="C52" s="205" t="s">
        <v>194</v>
      </c>
      <c r="D52" s="209"/>
      <c r="E52" s="209"/>
      <c r="F52" s="209"/>
      <c r="G52" s="209"/>
      <c r="H52" s="209"/>
      <c r="I52" s="209"/>
      <c r="J52" s="192"/>
      <c r="K52" s="223">
        <v>0</v>
      </c>
    </row>
    <row r="53" spans="2:15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3142.82</v>
      </c>
    </row>
    <row r="54" spans="2:15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5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5" x14ac:dyDescent="0.3">
      <c r="C57" s="42" t="s">
        <v>13</v>
      </c>
      <c r="D57" s="212">
        <f>SUM(D11:D41)</f>
        <v>34640</v>
      </c>
      <c r="E57" s="212">
        <f t="shared" ref="E57:J57" si="4">SUM(E11:E41)</f>
        <v>860</v>
      </c>
      <c r="F57" s="212">
        <f t="shared" si="4"/>
        <v>3034</v>
      </c>
      <c r="G57" s="212">
        <f t="shared" si="4"/>
        <v>0</v>
      </c>
      <c r="H57" s="212">
        <f t="shared" si="4"/>
        <v>189</v>
      </c>
      <c r="I57" s="212">
        <f t="shared" si="4"/>
        <v>1742</v>
      </c>
      <c r="J57" s="212">
        <f t="shared" si="4"/>
        <v>40465</v>
      </c>
      <c r="K57" s="168">
        <f>(SUM(D57:H57)*1.98)+(I57*2.06)</f>
        <v>80260.06</v>
      </c>
    </row>
    <row r="58" spans="2:15" x14ac:dyDescent="0.3">
      <c r="D58" s="212"/>
      <c r="E58" s="212"/>
      <c r="F58" s="212"/>
      <c r="G58" s="212"/>
      <c r="H58" s="212"/>
      <c r="I58" s="212"/>
      <c r="J58" s="212"/>
      <c r="K58" s="756"/>
      <c r="O58" t="s">
        <v>643</v>
      </c>
    </row>
    <row r="59" spans="2:15" ht="18" x14ac:dyDescent="0.35">
      <c r="G59" s="188"/>
      <c r="H59" s="188"/>
      <c r="I59" s="188"/>
      <c r="J59" s="188" t="s">
        <v>241</v>
      </c>
      <c r="K59" s="770">
        <f>K53+K57+K58</f>
        <v>83402.880000000005</v>
      </c>
      <c r="L59" s="41"/>
    </row>
    <row r="68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5:N68"/>
  <sheetViews>
    <sheetView showGridLines="0" topLeftCell="A33" zoomScaleNormal="100" workbookViewId="0">
      <selection activeCell="K47" sqref="K47"/>
    </sheetView>
  </sheetViews>
  <sheetFormatPr defaultRowHeight="14.4" x14ac:dyDescent="0.3"/>
  <cols>
    <col min="2" max="2" width="8" customWidth="1"/>
    <col min="3" max="3" width="11.109375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160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161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703</v>
      </c>
      <c r="E10" s="201" t="s">
        <v>698</v>
      </c>
      <c r="F10" s="201" t="s">
        <v>699</v>
      </c>
      <c r="G10" s="201" t="s">
        <v>700</v>
      </c>
      <c r="H10" s="201" t="s">
        <v>701</v>
      </c>
      <c r="I10" s="201" t="s">
        <v>702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>
        <v>2970</v>
      </c>
      <c r="E11" s="500">
        <v>57</v>
      </c>
      <c r="F11" s="500">
        <v>192</v>
      </c>
      <c r="G11" s="500">
        <v>0</v>
      </c>
      <c r="H11" s="500">
        <v>80</v>
      </c>
      <c r="I11" s="774">
        <v>125</v>
      </c>
      <c r="J11" s="213">
        <f>SUM(D11:I11)</f>
        <v>3424</v>
      </c>
      <c r="K11" s="506">
        <f>(SUM(D11:H11)*1.98)+(I11*2.06)</f>
        <v>6789.5199999999995</v>
      </c>
      <c r="M11" s="35"/>
      <c r="N11" s="35"/>
    </row>
    <row r="12" spans="2:14" x14ac:dyDescent="0.3">
      <c r="C12" s="36">
        <f>IF(C11+1&lt;=$C$8,C11+1,0)</f>
        <v>45140</v>
      </c>
      <c r="D12" s="500">
        <v>2904</v>
      </c>
      <c r="E12" s="500">
        <v>57</v>
      </c>
      <c r="F12" s="500">
        <v>192</v>
      </c>
      <c r="G12" s="500">
        <v>0</v>
      </c>
      <c r="H12" s="500">
        <v>95</v>
      </c>
      <c r="I12" s="773">
        <v>145</v>
      </c>
      <c r="J12" s="214">
        <f t="shared" ref="J12:J40" si="0">SUM(D12:I12)</f>
        <v>3393</v>
      </c>
      <c r="K12" s="506">
        <f t="shared" ref="K12:K41" si="1">(SUM(D12:H12)*1.98)+(I12*2.06)</f>
        <v>6729.74</v>
      </c>
    </row>
    <row r="13" spans="2:14" x14ac:dyDescent="0.3">
      <c r="C13" s="36">
        <f t="shared" ref="C13:C41" si="2">IF(C12+1&lt;=$C$8,C12+1,0)</f>
        <v>45141</v>
      </c>
      <c r="D13" s="500">
        <v>2816</v>
      </c>
      <c r="E13" s="500">
        <v>60</v>
      </c>
      <c r="F13" s="500">
        <v>186</v>
      </c>
      <c r="G13" s="500">
        <v>0</v>
      </c>
      <c r="H13" s="500">
        <v>84</v>
      </c>
      <c r="I13" s="773">
        <v>165</v>
      </c>
      <c r="J13" s="214">
        <f t="shared" si="0"/>
        <v>3311</v>
      </c>
      <c r="K13" s="506">
        <f t="shared" si="1"/>
        <v>6568.98</v>
      </c>
    </row>
    <row r="14" spans="2:14" x14ac:dyDescent="0.3">
      <c r="C14" s="36">
        <f t="shared" si="2"/>
        <v>45142</v>
      </c>
      <c r="D14" s="500">
        <v>3030</v>
      </c>
      <c r="E14" s="500">
        <v>60</v>
      </c>
      <c r="F14" s="500">
        <v>177</v>
      </c>
      <c r="G14" s="500">
        <v>0</v>
      </c>
      <c r="H14" s="500">
        <v>103</v>
      </c>
      <c r="I14" s="773">
        <v>145</v>
      </c>
      <c r="J14" s="214">
        <f t="shared" si="0"/>
        <v>3515</v>
      </c>
      <c r="K14" s="506">
        <f t="shared" si="1"/>
        <v>6971.3</v>
      </c>
      <c r="L14" s="3"/>
    </row>
    <row r="15" spans="2:14" x14ac:dyDescent="0.3">
      <c r="C15" s="36">
        <f t="shared" si="2"/>
        <v>45143</v>
      </c>
      <c r="D15" s="500">
        <v>1960</v>
      </c>
      <c r="E15" s="500">
        <v>40</v>
      </c>
      <c r="F15" s="500">
        <v>124</v>
      </c>
      <c r="G15" s="500">
        <v>40</v>
      </c>
      <c r="H15" s="500">
        <v>40</v>
      </c>
      <c r="I15" s="773">
        <v>0</v>
      </c>
      <c r="J15" s="214">
        <f t="shared" si="0"/>
        <v>2204</v>
      </c>
      <c r="K15" s="506">
        <f t="shared" si="1"/>
        <v>4363.92</v>
      </c>
    </row>
    <row r="16" spans="2:14" x14ac:dyDescent="0.3">
      <c r="C16" s="36">
        <f t="shared" si="2"/>
        <v>45144</v>
      </c>
      <c r="D16" s="500">
        <v>1760</v>
      </c>
      <c r="E16" s="500">
        <v>42</v>
      </c>
      <c r="F16" s="500">
        <v>122</v>
      </c>
      <c r="G16" s="500">
        <v>39</v>
      </c>
      <c r="H16" s="500">
        <v>40</v>
      </c>
      <c r="I16" s="773">
        <v>0</v>
      </c>
      <c r="J16" s="214">
        <f t="shared" si="0"/>
        <v>2003</v>
      </c>
      <c r="K16" s="506">
        <f t="shared" si="1"/>
        <v>3965.94</v>
      </c>
    </row>
    <row r="17" spans="3:13" x14ac:dyDescent="0.3">
      <c r="C17" s="36">
        <f t="shared" si="2"/>
        <v>45145</v>
      </c>
      <c r="D17" s="500">
        <v>3001</v>
      </c>
      <c r="E17" s="500">
        <v>69</v>
      </c>
      <c r="F17" s="500">
        <v>171</v>
      </c>
      <c r="G17" s="500">
        <v>0</v>
      </c>
      <c r="H17" s="500">
        <v>107</v>
      </c>
      <c r="I17" s="773">
        <v>145</v>
      </c>
      <c r="J17" s="214">
        <f t="shared" si="0"/>
        <v>3493</v>
      </c>
      <c r="K17" s="506">
        <f t="shared" si="1"/>
        <v>6927.74</v>
      </c>
    </row>
    <row r="18" spans="3:13" x14ac:dyDescent="0.3">
      <c r="C18" s="36">
        <f t="shared" si="2"/>
        <v>45146</v>
      </c>
      <c r="D18" s="500">
        <v>2733</v>
      </c>
      <c r="E18" s="500">
        <v>69</v>
      </c>
      <c r="F18" s="500">
        <v>174</v>
      </c>
      <c r="G18" s="500">
        <v>0</v>
      </c>
      <c r="H18" s="500">
        <v>93</v>
      </c>
      <c r="I18" s="773">
        <v>170</v>
      </c>
      <c r="J18" s="214">
        <f t="shared" si="0"/>
        <v>3239</v>
      </c>
      <c r="K18" s="506">
        <f t="shared" si="1"/>
        <v>6426.82</v>
      </c>
    </row>
    <row r="19" spans="3:13" x14ac:dyDescent="0.3">
      <c r="C19" s="36">
        <f t="shared" si="2"/>
        <v>45147</v>
      </c>
      <c r="D19" s="500">
        <v>2960</v>
      </c>
      <c r="E19" s="500">
        <v>63</v>
      </c>
      <c r="F19" s="500">
        <v>162</v>
      </c>
      <c r="G19" s="500">
        <v>0</v>
      </c>
      <c r="H19" s="500">
        <v>93</v>
      </c>
      <c r="I19" s="773">
        <v>150</v>
      </c>
      <c r="J19" s="214">
        <f t="shared" si="0"/>
        <v>3428</v>
      </c>
      <c r="K19" s="506">
        <f t="shared" si="1"/>
        <v>6799.44</v>
      </c>
    </row>
    <row r="20" spans="3:13" x14ac:dyDescent="0.3">
      <c r="C20" s="36">
        <f t="shared" si="2"/>
        <v>45148</v>
      </c>
      <c r="D20" s="500">
        <v>2835</v>
      </c>
      <c r="E20" s="500">
        <v>63</v>
      </c>
      <c r="F20" s="500">
        <v>165</v>
      </c>
      <c r="G20" s="500">
        <v>0</v>
      </c>
      <c r="H20" s="500">
        <v>56</v>
      </c>
      <c r="I20" s="773">
        <v>170</v>
      </c>
      <c r="J20" s="214">
        <f t="shared" si="0"/>
        <v>3289</v>
      </c>
      <c r="K20" s="506">
        <f t="shared" si="1"/>
        <v>6525.82</v>
      </c>
    </row>
    <row r="21" spans="3:13" s="233" customFormat="1" x14ac:dyDescent="0.3">
      <c r="C21" s="849">
        <f t="shared" si="2"/>
        <v>45149</v>
      </c>
      <c r="D21" s="500">
        <v>2853</v>
      </c>
      <c r="E21" s="500">
        <v>66</v>
      </c>
      <c r="F21" s="500">
        <v>168</v>
      </c>
      <c r="G21" s="500">
        <v>0</v>
      </c>
      <c r="H21" s="500">
        <v>58</v>
      </c>
      <c r="I21" s="773">
        <v>110</v>
      </c>
      <c r="J21" s="850">
        <f t="shared" si="0"/>
        <v>3255</v>
      </c>
      <c r="K21" s="506">
        <f t="shared" si="1"/>
        <v>6453.7000000000007</v>
      </c>
    </row>
    <row r="22" spans="3:13" s="233" customFormat="1" x14ac:dyDescent="0.3">
      <c r="C22" s="849">
        <f t="shared" si="2"/>
        <v>45150</v>
      </c>
      <c r="D22" s="500">
        <v>1885</v>
      </c>
      <c r="E22" s="500">
        <v>48</v>
      </c>
      <c r="F22" s="500">
        <v>110</v>
      </c>
      <c r="G22" s="500">
        <v>38</v>
      </c>
      <c r="H22" s="500">
        <v>40</v>
      </c>
      <c r="I22" s="773">
        <v>0</v>
      </c>
      <c r="J22" s="850">
        <f t="shared" si="0"/>
        <v>2121</v>
      </c>
      <c r="K22" s="506">
        <f t="shared" si="1"/>
        <v>4199.58</v>
      </c>
    </row>
    <row r="23" spans="3:13" s="233" customFormat="1" x14ac:dyDescent="0.3">
      <c r="C23" s="849">
        <f t="shared" si="2"/>
        <v>45151</v>
      </c>
      <c r="D23" s="500">
        <v>1810</v>
      </c>
      <c r="E23" s="500">
        <v>50</v>
      </c>
      <c r="F23" s="500">
        <v>112</v>
      </c>
      <c r="G23" s="500">
        <v>38</v>
      </c>
      <c r="H23" s="500">
        <v>40</v>
      </c>
      <c r="I23" s="773">
        <v>0</v>
      </c>
      <c r="J23" s="850">
        <f t="shared" si="0"/>
        <v>2050</v>
      </c>
      <c r="K23" s="506">
        <f t="shared" si="1"/>
        <v>4059</v>
      </c>
    </row>
    <row r="24" spans="3:13" s="233" customFormat="1" x14ac:dyDescent="0.3">
      <c r="C24" s="849">
        <f t="shared" si="2"/>
        <v>45152</v>
      </c>
      <c r="D24" s="500">
        <v>2933</v>
      </c>
      <c r="E24" s="500">
        <v>75</v>
      </c>
      <c r="F24" s="500">
        <v>168</v>
      </c>
      <c r="G24" s="500">
        <v>0</v>
      </c>
      <c r="H24" s="500">
        <v>80</v>
      </c>
      <c r="I24" s="773">
        <v>125</v>
      </c>
      <c r="J24" s="850">
        <f t="shared" si="0"/>
        <v>3381</v>
      </c>
      <c r="K24" s="506">
        <f t="shared" si="1"/>
        <v>6704.38</v>
      </c>
    </row>
    <row r="25" spans="3:13" s="233" customFormat="1" x14ac:dyDescent="0.3">
      <c r="C25" s="849">
        <f t="shared" si="2"/>
        <v>45153</v>
      </c>
      <c r="D25" s="773">
        <v>2994</v>
      </c>
      <c r="E25" s="773">
        <v>69</v>
      </c>
      <c r="F25" s="773">
        <v>165</v>
      </c>
      <c r="G25" s="773">
        <v>0</v>
      </c>
      <c r="H25" s="773">
        <v>56</v>
      </c>
      <c r="I25" s="773">
        <v>150</v>
      </c>
      <c r="J25" s="850">
        <f t="shared" si="0"/>
        <v>3434</v>
      </c>
      <c r="K25" s="506">
        <f t="shared" si="1"/>
        <v>6811.32</v>
      </c>
    </row>
    <row r="26" spans="3:13" s="233" customFormat="1" x14ac:dyDescent="0.3">
      <c r="C26" s="849">
        <f t="shared" si="2"/>
        <v>45154</v>
      </c>
      <c r="D26" s="773">
        <v>2781</v>
      </c>
      <c r="E26" s="773">
        <v>66</v>
      </c>
      <c r="F26" s="773">
        <v>165</v>
      </c>
      <c r="G26" s="773">
        <v>0</v>
      </c>
      <c r="H26" s="773">
        <v>76</v>
      </c>
      <c r="I26" s="773">
        <v>175</v>
      </c>
      <c r="J26" s="850">
        <f t="shared" si="0"/>
        <v>3263</v>
      </c>
      <c r="K26" s="506">
        <f t="shared" si="1"/>
        <v>6474.74</v>
      </c>
    </row>
    <row r="27" spans="3:13" s="233" customFormat="1" x14ac:dyDescent="0.3">
      <c r="C27" s="849">
        <f t="shared" si="2"/>
        <v>45155</v>
      </c>
      <c r="D27" s="773">
        <v>2794</v>
      </c>
      <c r="E27" s="773">
        <v>63</v>
      </c>
      <c r="F27" s="773">
        <v>168</v>
      </c>
      <c r="G27" s="773">
        <v>0</v>
      </c>
      <c r="H27" s="773">
        <v>104</v>
      </c>
      <c r="I27" s="773">
        <v>165</v>
      </c>
      <c r="J27" s="850">
        <f t="shared" si="0"/>
        <v>3294</v>
      </c>
      <c r="K27" s="506">
        <f t="shared" si="1"/>
        <v>6535.32</v>
      </c>
    </row>
    <row r="28" spans="3:13" x14ac:dyDescent="0.3">
      <c r="C28" s="36">
        <f t="shared" si="2"/>
        <v>45156</v>
      </c>
      <c r="D28" s="773">
        <v>2853</v>
      </c>
      <c r="E28" s="773">
        <v>66</v>
      </c>
      <c r="F28" s="773">
        <v>171</v>
      </c>
      <c r="G28" s="773">
        <v>0</v>
      </c>
      <c r="H28" s="773">
        <v>110</v>
      </c>
      <c r="I28" s="773">
        <v>140</v>
      </c>
      <c r="J28" s="214">
        <f t="shared" si="0"/>
        <v>3340</v>
      </c>
      <c r="K28" s="506">
        <f t="shared" si="1"/>
        <v>6624.4</v>
      </c>
    </row>
    <row r="29" spans="3:13" x14ac:dyDescent="0.3">
      <c r="C29" s="36">
        <f t="shared" si="2"/>
        <v>45157</v>
      </c>
      <c r="D29" s="773">
        <v>1840</v>
      </c>
      <c r="E29" s="773">
        <v>44</v>
      </c>
      <c r="F29" s="773">
        <v>114</v>
      </c>
      <c r="G29" s="773">
        <v>40</v>
      </c>
      <c r="H29" s="773">
        <v>40</v>
      </c>
      <c r="I29" s="773">
        <v>0</v>
      </c>
      <c r="J29" s="214">
        <f t="shared" si="0"/>
        <v>2078</v>
      </c>
      <c r="K29" s="506">
        <f t="shared" si="1"/>
        <v>4114.4399999999996</v>
      </c>
      <c r="M29" s="267"/>
    </row>
    <row r="30" spans="3:13" x14ac:dyDescent="0.3">
      <c r="C30" s="36">
        <f t="shared" si="2"/>
        <v>45158</v>
      </c>
      <c r="D30" s="773">
        <v>1910</v>
      </c>
      <c r="E30" s="773">
        <v>44</v>
      </c>
      <c r="F30" s="773">
        <v>114</v>
      </c>
      <c r="G30" s="773">
        <v>40</v>
      </c>
      <c r="H30" s="773">
        <v>40</v>
      </c>
      <c r="I30" s="773">
        <v>0</v>
      </c>
      <c r="J30" s="214">
        <f t="shared" si="0"/>
        <v>2148</v>
      </c>
      <c r="K30" s="506">
        <f t="shared" si="1"/>
        <v>4253.04</v>
      </c>
      <c r="M30" s="267"/>
    </row>
    <row r="31" spans="3:13" x14ac:dyDescent="0.3">
      <c r="C31" s="36">
        <f t="shared" si="2"/>
        <v>45159</v>
      </c>
      <c r="D31" s="773">
        <v>2875</v>
      </c>
      <c r="E31" s="773">
        <v>66</v>
      </c>
      <c r="F31" s="773">
        <v>171</v>
      </c>
      <c r="G31" s="773">
        <v>18</v>
      </c>
      <c r="H31" s="773">
        <v>99</v>
      </c>
      <c r="I31" s="773">
        <v>145</v>
      </c>
      <c r="J31" s="214">
        <f t="shared" si="0"/>
        <v>3374</v>
      </c>
      <c r="K31" s="506">
        <f t="shared" si="1"/>
        <v>6692.12</v>
      </c>
      <c r="M31" s="267"/>
    </row>
    <row r="32" spans="3:13" x14ac:dyDescent="0.3">
      <c r="C32" s="36">
        <f t="shared" si="2"/>
        <v>45160</v>
      </c>
      <c r="D32" s="773">
        <v>2815</v>
      </c>
      <c r="E32" s="773">
        <v>63</v>
      </c>
      <c r="F32" s="773">
        <v>183</v>
      </c>
      <c r="G32" s="773">
        <v>0</v>
      </c>
      <c r="H32" s="773">
        <v>88</v>
      </c>
      <c r="I32" s="773">
        <v>170</v>
      </c>
      <c r="J32" s="214">
        <f t="shared" si="0"/>
        <v>3319</v>
      </c>
      <c r="K32" s="506">
        <f t="shared" si="1"/>
        <v>6585.2199999999993</v>
      </c>
      <c r="M32" s="267"/>
    </row>
    <row r="33" spans="2:13" x14ac:dyDescent="0.3">
      <c r="C33" s="36">
        <f t="shared" si="2"/>
        <v>45161</v>
      </c>
      <c r="D33" s="773">
        <v>3069</v>
      </c>
      <c r="E33" s="773">
        <v>57</v>
      </c>
      <c r="F33" s="773">
        <v>177</v>
      </c>
      <c r="G33" s="773">
        <v>0</v>
      </c>
      <c r="H33" s="773">
        <v>56</v>
      </c>
      <c r="I33" s="773">
        <v>175</v>
      </c>
      <c r="J33" s="214">
        <f t="shared" si="0"/>
        <v>3534</v>
      </c>
      <c r="K33" s="506">
        <f t="shared" si="1"/>
        <v>7011.32</v>
      </c>
      <c r="M33" s="267"/>
    </row>
    <row r="34" spans="2:13" x14ac:dyDescent="0.3">
      <c r="C34" s="36">
        <f t="shared" si="2"/>
        <v>45162</v>
      </c>
      <c r="D34" s="773">
        <v>2817</v>
      </c>
      <c r="E34" s="773">
        <v>57</v>
      </c>
      <c r="F34" s="773">
        <v>174</v>
      </c>
      <c r="G34" s="773">
        <v>0</v>
      </c>
      <c r="H34" s="773">
        <v>98</v>
      </c>
      <c r="I34" s="773">
        <v>180</v>
      </c>
      <c r="J34" s="214">
        <f t="shared" si="0"/>
        <v>3326</v>
      </c>
      <c r="K34" s="506">
        <f t="shared" si="1"/>
        <v>6599.88</v>
      </c>
      <c r="M34" s="267"/>
    </row>
    <row r="35" spans="2:13" x14ac:dyDescent="0.3">
      <c r="C35" s="36">
        <f t="shared" si="2"/>
        <v>45163</v>
      </c>
      <c r="D35" s="773">
        <v>2825</v>
      </c>
      <c r="E35" s="773">
        <v>57</v>
      </c>
      <c r="F35" s="773">
        <v>174</v>
      </c>
      <c r="G35" s="773">
        <v>0</v>
      </c>
      <c r="H35" s="773">
        <v>120</v>
      </c>
      <c r="I35" s="773">
        <v>160</v>
      </c>
      <c r="J35" s="214">
        <f t="shared" si="0"/>
        <v>3336</v>
      </c>
      <c r="K35" s="506">
        <f t="shared" si="1"/>
        <v>6618.08</v>
      </c>
      <c r="M35" s="267"/>
    </row>
    <row r="36" spans="2:13" x14ac:dyDescent="0.3">
      <c r="C36" s="36">
        <f t="shared" si="2"/>
        <v>45164</v>
      </c>
      <c r="D36" s="773">
        <v>1925</v>
      </c>
      <c r="E36" s="773">
        <v>38</v>
      </c>
      <c r="F36" s="773">
        <v>118</v>
      </c>
      <c r="G36" s="773">
        <v>43</v>
      </c>
      <c r="H36" s="773">
        <v>40</v>
      </c>
      <c r="I36" s="773">
        <v>0</v>
      </c>
      <c r="J36" s="214">
        <f t="shared" si="0"/>
        <v>2164</v>
      </c>
      <c r="K36" s="506">
        <f t="shared" si="1"/>
        <v>4284.72</v>
      </c>
      <c r="M36" s="267"/>
    </row>
    <row r="37" spans="2:13" x14ac:dyDescent="0.3">
      <c r="C37" s="36">
        <f t="shared" si="2"/>
        <v>45165</v>
      </c>
      <c r="D37" s="773">
        <v>1940</v>
      </c>
      <c r="E37" s="773">
        <v>38</v>
      </c>
      <c r="F37" s="773">
        <v>116</v>
      </c>
      <c r="G37" s="773">
        <v>41</v>
      </c>
      <c r="H37" s="773">
        <v>40</v>
      </c>
      <c r="I37" s="773">
        <v>0</v>
      </c>
      <c r="J37" s="214">
        <f t="shared" si="0"/>
        <v>2175</v>
      </c>
      <c r="K37" s="506">
        <f t="shared" si="1"/>
        <v>4306.5</v>
      </c>
      <c r="M37" s="267"/>
    </row>
    <row r="38" spans="2:13" x14ac:dyDescent="0.3">
      <c r="C38" s="36">
        <f t="shared" si="2"/>
        <v>45166</v>
      </c>
      <c r="D38" s="773">
        <v>2943</v>
      </c>
      <c r="E38" s="773">
        <v>57</v>
      </c>
      <c r="F38" s="773">
        <v>174</v>
      </c>
      <c r="G38" s="773">
        <v>0</v>
      </c>
      <c r="H38" s="773">
        <v>115</v>
      </c>
      <c r="I38" s="773">
        <v>165</v>
      </c>
      <c r="J38" s="214">
        <f t="shared" si="0"/>
        <v>3454</v>
      </c>
      <c r="K38" s="506">
        <f t="shared" si="1"/>
        <v>6852.12</v>
      </c>
      <c r="M38" s="267"/>
    </row>
    <row r="39" spans="2:13" x14ac:dyDescent="0.3">
      <c r="C39" s="36">
        <f t="shared" si="2"/>
        <v>45167</v>
      </c>
      <c r="D39" s="773">
        <v>2834</v>
      </c>
      <c r="E39" s="773">
        <v>57</v>
      </c>
      <c r="F39" s="773">
        <v>174</v>
      </c>
      <c r="G39" s="773">
        <v>0</v>
      </c>
      <c r="H39" s="773">
        <v>108</v>
      </c>
      <c r="I39" s="773">
        <v>185</v>
      </c>
      <c r="J39" s="500">
        <f t="shared" si="0"/>
        <v>3358</v>
      </c>
      <c r="K39" s="506">
        <f t="shared" si="1"/>
        <v>6663.64</v>
      </c>
      <c r="M39" s="267"/>
    </row>
    <row r="40" spans="2:13" x14ac:dyDescent="0.3">
      <c r="C40" s="36">
        <f t="shared" si="2"/>
        <v>45168</v>
      </c>
      <c r="D40" s="773">
        <v>2880</v>
      </c>
      <c r="E40" s="773">
        <v>57</v>
      </c>
      <c r="F40" s="773">
        <v>174</v>
      </c>
      <c r="G40" s="773">
        <v>0</v>
      </c>
      <c r="H40" s="773">
        <v>110</v>
      </c>
      <c r="I40" s="773">
        <v>195</v>
      </c>
      <c r="J40" s="500">
        <f t="shared" si="0"/>
        <v>3416</v>
      </c>
      <c r="K40" s="506">
        <f t="shared" si="1"/>
        <v>6779.28</v>
      </c>
      <c r="M40" s="267"/>
    </row>
    <row r="41" spans="2:13" x14ac:dyDescent="0.3">
      <c r="C41" s="36">
        <f t="shared" si="2"/>
        <v>45169</v>
      </c>
      <c r="D41" s="778">
        <v>2740</v>
      </c>
      <c r="E41" s="778">
        <v>57</v>
      </c>
      <c r="F41" s="778">
        <v>174</v>
      </c>
      <c r="G41" s="778">
        <v>0</v>
      </c>
      <c r="H41" s="778">
        <v>40</v>
      </c>
      <c r="I41" s="778">
        <v>0</v>
      </c>
      <c r="J41" s="500">
        <f>SUM(D41:I41)</f>
        <v>3011</v>
      </c>
      <c r="K41" s="506">
        <f t="shared" si="1"/>
        <v>5961.78</v>
      </c>
      <c r="M41" s="35"/>
    </row>
    <row r="42" spans="2:13" x14ac:dyDescent="0.3">
      <c r="C42" s="36"/>
      <c r="D42" s="192"/>
      <c r="E42" s="192"/>
      <c r="F42" s="192"/>
      <c r="G42" s="192"/>
      <c r="H42" s="192"/>
      <c r="I42" s="192"/>
      <c r="J42" s="192"/>
      <c r="K42" s="506">
        <f t="shared" ref="K42" si="3">(SUM(D42:H42)*2.209)+(I42*2.345)</f>
        <v>0</v>
      </c>
    </row>
    <row r="43" spans="2:13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3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Bulk'!Q11+'Facility Requested Meals + Bulk'!Q28+'Facility Requested Meals + Bulk'!Q40+'Facility Requested Meals + Bulk'!Q64+'Facility Requested Meals + Bulk'!Q73+'Facility Requested Meals + Bulk'!Q85+'Facility Requested Meals + Bulk'!Q128+'Facility Requested Meals + Bulk'!Q140+'Facility Requested Meals + Bulk'!Q165+'Facility Requested Meals + Bulk'!Q190+'Facility Requested Meals + Bulk'!Q215+'Facility Requested Meals + Bulk'!Q240+'Facility Requested Meals + Bulk'!Q252</f>
        <v>12417.74</v>
      </c>
    </row>
    <row r="45" spans="2:13" x14ac:dyDescent="0.3">
      <c r="C45" s="36" t="s">
        <v>184</v>
      </c>
      <c r="D45" s="192"/>
      <c r="E45" s="192"/>
      <c r="F45" s="192"/>
      <c r="G45" s="192"/>
      <c r="H45" s="192"/>
      <c r="I45" s="192"/>
      <c r="J45" s="192"/>
      <c r="K45" s="168">
        <v>0</v>
      </c>
    </row>
    <row r="46" spans="2:13" x14ac:dyDescent="0.3">
      <c r="C46" s="36" t="s">
        <v>581</v>
      </c>
      <c r="D46" s="192"/>
      <c r="E46" s="192" t="s">
        <v>556</v>
      </c>
      <c r="F46" s="192"/>
      <c r="G46" s="192"/>
      <c r="H46" s="192"/>
      <c r="I46" s="192"/>
      <c r="J46" s="192"/>
      <c r="K46" s="38">
        <v>-4590.72</v>
      </c>
    </row>
    <row r="47" spans="2:13" x14ac:dyDescent="0.3">
      <c r="B47" t="s">
        <v>212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38">
        <f>'August - EE Credits FY23  '!O14</f>
        <v>0</v>
      </c>
    </row>
    <row r="48" spans="2:13" x14ac:dyDescent="0.3">
      <c r="B48" t="s">
        <v>212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'August - EE Credits FY23  '!P14</f>
        <v>0</v>
      </c>
    </row>
    <row r="49" spans="2:12" x14ac:dyDescent="0.3">
      <c r="B49" t="s">
        <v>212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3">
      <c r="B50" t="s">
        <v>212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506">
        <f>'State to ARA Charge Aug FY23'!CK91</f>
        <v>113.22</v>
      </c>
    </row>
    <row r="51" spans="2:12" x14ac:dyDescent="0.3">
      <c r="C51" s="36" t="s">
        <v>671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649">
        <f>'Inv Usage Credits'!M73*-1</f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7940.24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3">
      <c r="C57" s="42" t="s">
        <v>13</v>
      </c>
      <c r="D57" s="212">
        <f>SUM(D11:D41)</f>
        <v>81285</v>
      </c>
      <c r="E57" s="212">
        <f t="shared" ref="E57:J57" si="4">SUM(E11:E41)</f>
        <v>1775</v>
      </c>
      <c r="F57" s="212">
        <f t="shared" si="4"/>
        <v>4929</v>
      </c>
      <c r="G57" s="212">
        <f t="shared" si="4"/>
        <v>337</v>
      </c>
      <c r="H57" s="212">
        <f t="shared" si="4"/>
        <v>2349</v>
      </c>
      <c r="I57" s="212">
        <f t="shared" si="4"/>
        <v>3455</v>
      </c>
      <c r="J57" s="212">
        <f t="shared" si="4"/>
        <v>94130</v>
      </c>
      <c r="K57" s="168">
        <f>(SUM(D57:H57)*1.98)+(I57*2.06)</f>
        <v>186653.8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70">
        <f>K53+K57+K58</f>
        <v>194594.03999999998</v>
      </c>
      <c r="L59" s="41"/>
    </row>
    <row r="68" hidden="1" x14ac:dyDescent="0.3"/>
  </sheetData>
  <mergeCells count="3">
    <mergeCell ref="G6:J6"/>
    <mergeCell ref="G5:J5"/>
    <mergeCell ref="J7:K7"/>
  </mergeCells>
  <pageMargins left="0.45" right="0.45" top="0.25" bottom="0.25" header="0" footer="0"/>
  <pageSetup scale="58" fitToHeight="0" orientation="portrait" r:id="rId1"/>
  <rowBreaks count="2" manualBreakCount="2">
    <brk id="62" max="11" man="1"/>
    <brk id="66" max="11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E7A7-1F1B-4D06-B0BF-4E4E74584CC5}">
  <sheetPr>
    <pageSetUpPr fitToPage="1"/>
  </sheetPr>
  <dimension ref="B5:N68"/>
  <sheetViews>
    <sheetView showGridLines="0" topLeftCell="A25" zoomScaleNormal="100" workbookViewId="0">
      <selection activeCell="Q42" sqref="Q42"/>
    </sheetView>
  </sheetViews>
  <sheetFormatPr defaultRowHeight="14.4" x14ac:dyDescent="0.3"/>
  <cols>
    <col min="2" max="2" width="8" customWidth="1"/>
    <col min="3" max="3" width="11.109375" customWidth="1"/>
    <col min="4" max="9" width="18" customWidth="1"/>
    <col min="10" max="10" width="13.109375" bestFit="1" customWidth="1"/>
    <col min="11" max="11" width="15.5546875" bestFit="1" customWidth="1"/>
    <col min="12" max="12" width="11.44140625" customWidth="1"/>
  </cols>
  <sheetData>
    <row r="5" spans="2:14" ht="25.8" x14ac:dyDescent="0.5">
      <c r="G5" s="880" t="s">
        <v>10</v>
      </c>
      <c r="H5" s="880"/>
      <c r="I5" s="880"/>
      <c r="J5" s="880"/>
      <c r="K5" s="37"/>
      <c r="L5" s="37"/>
      <c r="M5" s="37"/>
      <c r="N5" s="37"/>
    </row>
    <row r="6" spans="2:14" ht="18" x14ac:dyDescent="0.35">
      <c r="B6" s="43" t="s">
        <v>12</v>
      </c>
      <c r="C6" s="44">
        <f>'DOC Invoice'!J2</f>
        <v>11</v>
      </c>
      <c r="G6" s="879" t="s">
        <v>160</v>
      </c>
      <c r="H6" s="879"/>
      <c r="I6" s="879"/>
      <c r="J6" s="879"/>
      <c r="K6" s="181"/>
      <c r="L6" s="181"/>
      <c r="M6" s="181"/>
    </row>
    <row r="7" spans="2:14" x14ac:dyDescent="0.3">
      <c r="B7" s="43" t="s">
        <v>14</v>
      </c>
      <c r="C7" s="45">
        <f>'DOC Invoice'!J3</f>
        <v>45139</v>
      </c>
      <c r="J7" s="883"/>
      <c r="K7" s="883"/>
    </row>
    <row r="8" spans="2:14" x14ac:dyDescent="0.3">
      <c r="B8" s="43" t="s">
        <v>15</v>
      </c>
      <c r="C8" s="45">
        <f>'DOC Invoice'!J4</f>
        <v>45169</v>
      </c>
      <c r="H8" s="187"/>
      <c r="I8" s="53" t="s">
        <v>161</v>
      </c>
      <c r="J8" s="42"/>
    </row>
    <row r="9" spans="2:14" ht="15" thickBot="1" x14ac:dyDescent="0.35"/>
    <row r="10" spans="2:14" ht="48.75" customHeight="1" thickBot="1" x14ac:dyDescent="0.35">
      <c r="B10" s="3"/>
      <c r="C10" s="284" t="s">
        <v>11</v>
      </c>
      <c r="D10" s="201" t="s">
        <v>594</v>
      </c>
      <c r="E10" s="201" t="s">
        <v>586</v>
      </c>
      <c r="F10" s="201" t="s">
        <v>587</v>
      </c>
      <c r="G10" s="201" t="s">
        <v>588</v>
      </c>
      <c r="H10" s="201" t="s">
        <v>589</v>
      </c>
      <c r="I10" s="201" t="s">
        <v>595</v>
      </c>
      <c r="J10" s="201" t="s">
        <v>13</v>
      </c>
      <c r="K10" s="285" t="s">
        <v>16</v>
      </c>
      <c r="M10" s="3"/>
      <c r="N10" s="3"/>
    </row>
    <row r="11" spans="2:14" x14ac:dyDescent="0.3">
      <c r="C11" s="36">
        <f>C7</f>
        <v>45139</v>
      </c>
      <c r="D11" s="500"/>
      <c r="E11" s="500"/>
      <c r="F11" s="500"/>
      <c r="G11" s="500"/>
      <c r="H11" s="500"/>
      <c r="I11" s="774"/>
      <c r="J11" s="499">
        <f>SUM(D11:I11)</f>
        <v>0</v>
      </c>
      <c r="K11" s="506">
        <f>(SUM(D11:H11)*1.672)+(I11*1.74)</f>
        <v>0</v>
      </c>
      <c r="M11" s="35"/>
      <c r="N11" s="35"/>
    </row>
    <row r="12" spans="2:14" x14ac:dyDescent="0.3">
      <c r="C12" s="36">
        <f>IF(C11+1&lt;=$C$8,C11+1,0)</f>
        <v>45140</v>
      </c>
      <c r="D12" s="500"/>
      <c r="E12" s="500"/>
      <c r="F12" s="500"/>
      <c r="G12" s="500"/>
      <c r="H12" s="500"/>
      <c r="I12" s="773"/>
      <c r="J12" s="500">
        <f t="shared" ref="J12:J40" si="0">SUM(D12:I12)</f>
        <v>0</v>
      </c>
      <c r="K12" s="506">
        <f t="shared" ref="K12:K41" si="1">(SUM(D12:H12)*1.672)+(I12*1.74)</f>
        <v>0</v>
      </c>
    </row>
    <row r="13" spans="2:14" x14ac:dyDescent="0.3">
      <c r="C13" s="36">
        <f t="shared" ref="C13:C40" si="2">IF(C12+1&lt;=$C$8,C12+1,0)</f>
        <v>45141</v>
      </c>
      <c r="D13" s="500"/>
      <c r="E13" s="500"/>
      <c r="F13" s="500"/>
      <c r="G13" s="500"/>
      <c r="H13" s="500"/>
      <c r="I13" s="773"/>
      <c r="J13" s="500">
        <f t="shared" si="0"/>
        <v>0</v>
      </c>
      <c r="K13" s="506">
        <f t="shared" si="1"/>
        <v>0</v>
      </c>
    </row>
    <row r="14" spans="2:14" x14ac:dyDescent="0.3">
      <c r="C14" s="36">
        <f t="shared" si="2"/>
        <v>45142</v>
      </c>
      <c r="D14" s="500"/>
      <c r="E14" s="500"/>
      <c r="F14" s="500"/>
      <c r="G14" s="500"/>
      <c r="H14" s="500"/>
      <c r="I14" s="773"/>
      <c r="J14" s="500">
        <f t="shared" si="0"/>
        <v>0</v>
      </c>
      <c r="K14" s="506">
        <f t="shared" si="1"/>
        <v>0</v>
      </c>
      <c r="L14" s="3"/>
    </row>
    <row r="15" spans="2:14" x14ac:dyDescent="0.3">
      <c r="C15" s="36">
        <f t="shared" si="2"/>
        <v>45143</v>
      </c>
      <c r="D15" s="500"/>
      <c r="E15" s="500"/>
      <c r="F15" s="500"/>
      <c r="G15" s="500"/>
      <c r="H15" s="500"/>
      <c r="I15" s="773"/>
      <c r="J15" s="500">
        <f t="shared" si="0"/>
        <v>0</v>
      </c>
      <c r="K15" s="506">
        <f t="shared" si="1"/>
        <v>0</v>
      </c>
    </row>
    <row r="16" spans="2:14" x14ac:dyDescent="0.3">
      <c r="C16" s="36">
        <f t="shared" si="2"/>
        <v>45144</v>
      </c>
      <c r="D16" s="500"/>
      <c r="E16" s="500"/>
      <c r="F16" s="500"/>
      <c r="G16" s="500"/>
      <c r="H16" s="500"/>
      <c r="I16" s="773"/>
      <c r="J16" s="500">
        <f t="shared" si="0"/>
        <v>0</v>
      </c>
      <c r="K16" s="506">
        <f t="shared" si="1"/>
        <v>0</v>
      </c>
    </row>
    <row r="17" spans="3:13" x14ac:dyDescent="0.3">
      <c r="C17" s="36">
        <f t="shared" si="2"/>
        <v>45145</v>
      </c>
      <c r="D17" s="500"/>
      <c r="E17" s="500"/>
      <c r="F17" s="500"/>
      <c r="G17" s="500"/>
      <c r="H17" s="500"/>
      <c r="I17" s="773"/>
      <c r="J17" s="500">
        <f t="shared" si="0"/>
        <v>0</v>
      </c>
      <c r="K17" s="506">
        <f t="shared" si="1"/>
        <v>0</v>
      </c>
    </row>
    <row r="18" spans="3:13" x14ac:dyDescent="0.3">
      <c r="C18" s="36">
        <f t="shared" si="2"/>
        <v>45146</v>
      </c>
      <c r="D18" s="500"/>
      <c r="E18" s="500"/>
      <c r="F18" s="500"/>
      <c r="G18" s="500"/>
      <c r="H18" s="500"/>
      <c r="I18" s="773"/>
      <c r="J18" s="500">
        <f t="shared" si="0"/>
        <v>0</v>
      </c>
      <c r="K18" s="506">
        <f t="shared" si="1"/>
        <v>0</v>
      </c>
    </row>
    <row r="19" spans="3:13" x14ac:dyDescent="0.3">
      <c r="C19" s="36">
        <f t="shared" si="2"/>
        <v>45147</v>
      </c>
      <c r="D19" s="500"/>
      <c r="E19" s="500"/>
      <c r="F19" s="500"/>
      <c r="G19" s="500"/>
      <c r="H19" s="500"/>
      <c r="I19" s="773"/>
      <c r="J19" s="500">
        <f t="shared" si="0"/>
        <v>0</v>
      </c>
      <c r="K19" s="506">
        <f t="shared" si="1"/>
        <v>0</v>
      </c>
    </row>
    <row r="20" spans="3:13" x14ac:dyDescent="0.3">
      <c r="C20" s="36">
        <f t="shared" si="2"/>
        <v>45148</v>
      </c>
      <c r="D20" s="500"/>
      <c r="E20" s="500"/>
      <c r="F20" s="500"/>
      <c r="G20" s="500"/>
      <c r="H20" s="500"/>
      <c r="I20" s="773"/>
      <c r="J20" s="500">
        <f t="shared" si="0"/>
        <v>0</v>
      </c>
      <c r="K20" s="506">
        <f t="shared" si="1"/>
        <v>0</v>
      </c>
    </row>
    <row r="21" spans="3:13" x14ac:dyDescent="0.3">
      <c r="C21" s="36">
        <f t="shared" si="2"/>
        <v>45149</v>
      </c>
      <c r="D21" s="500"/>
      <c r="E21" s="500"/>
      <c r="F21" s="500"/>
      <c r="G21" s="500"/>
      <c r="H21" s="500"/>
      <c r="I21" s="773"/>
      <c r="J21" s="500">
        <f t="shared" si="0"/>
        <v>0</v>
      </c>
      <c r="K21" s="506">
        <f t="shared" si="1"/>
        <v>0</v>
      </c>
    </row>
    <row r="22" spans="3:13" x14ac:dyDescent="0.3">
      <c r="C22" s="36">
        <f t="shared" si="2"/>
        <v>45150</v>
      </c>
      <c r="D22" s="500"/>
      <c r="E22" s="500"/>
      <c r="F22" s="500"/>
      <c r="G22" s="500"/>
      <c r="H22" s="500"/>
      <c r="I22" s="773"/>
      <c r="J22" s="500">
        <f t="shared" si="0"/>
        <v>0</v>
      </c>
      <c r="K22" s="506">
        <f t="shared" si="1"/>
        <v>0</v>
      </c>
    </row>
    <row r="23" spans="3:13" x14ac:dyDescent="0.3">
      <c r="C23" s="36">
        <f t="shared" si="2"/>
        <v>45151</v>
      </c>
      <c r="D23" s="500"/>
      <c r="E23" s="500"/>
      <c r="F23" s="500"/>
      <c r="G23" s="500"/>
      <c r="H23" s="500"/>
      <c r="I23" s="773"/>
      <c r="J23" s="500">
        <f t="shared" si="0"/>
        <v>0</v>
      </c>
      <c r="K23" s="506">
        <f t="shared" si="1"/>
        <v>0</v>
      </c>
    </row>
    <row r="24" spans="3:13" x14ac:dyDescent="0.3">
      <c r="C24" s="36">
        <f t="shared" si="2"/>
        <v>45152</v>
      </c>
      <c r="D24" s="500"/>
      <c r="E24" s="500"/>
      <c r="F24" s="500"/>
      <c r="G24" s="500"/>
      <c r="H24" s="500"/>
      <c r="I24" s="773"/>
      <c r="J24" s="500">
        <f t="shared" si="0"/>
        <v>0</v>
      </c>
      <c r="K24" s="506">
        <f t="shared" si="1"/>
        <v>0</v>
      </c>
    </row>
    <row r="25" spans="3:13" x14ac:dyDescent="0.3">
      <c r="C25" s="36">
        <f t="shared" si="2"/>
        <v>45153</v>
      </c>
      <c r="D25" s="773"/>
      <c r="E25" s="773"/>
      <c r="F25" s="773"/>
      <c r="G25" s="773"/>
      <c r="H25" s="773"/>
      <c r="I25" s="773"/>
      <c r="J25" s="500">
        <f t="shared" si="0"/>
        <v>0</v>
      </c>
      <c r="K25" s="506">
        <f t="shared" si="1"/>
        <v>0</v>
      </c>
    </row>
    <row r="26" spans="3:13" x14ac:dyDescent="0.3">
      <c r="C26" s="36">
        <f t="shared" si="2"/>
        <v>45154</v>
      </c>
      <c r="D26" s="773"/>
      <c r="E26" s="773"/>
      <c r="F26" s="773"/>
      <c r="G26" s="773"/>
      <c r="H26" s="773"/>
      <c r="I26" s="773"/>
      <c r="J26" s="500">
        <f t="shared" si="0"/>
        <v>0</v>
      </c>
      <c r="K26" s="506">
        <f t="shared" si="1"/>
        <v>0</v>
      </c>
    </row>
    <row r="27" spans="3:13" x14ac:dyDescent="0.3">
      <c r="C27" s="36">
        <f t="shared" si="2"/>
        <v>45155</v>
      </c>
      <c r="D27" s="773"/>
      <c r="E27" s="773"/>
      <c r="F27" s="773"/>
      <c r="G27" s="773"/>
      <c r="H27" s="773"/>
      <c r="I27" s="773"/>
      <c r="J27" s="500">
        <f t="shared" si="0"/>
        <v>0</v>
      </c>
      <c r="K27" s="506">
        <f t="shared" si="1"/>
        <v>0</v>
      </c>
    </row>
    <row r="28" spans="3:13" x14ac:dyDescent="0.3">
      <c r="C28" s="36">
        <f t="shared" si="2"/>
        <v>45156</v>
      </c>
      <c r="D28" s="773"/>
      <c r="E28" s="773"/>
      <c r="F28" s="773"/>
      <c r="G28" s="773"/>
      <c r="H28" s="773"/>
      <c r="I28" s="773"/>
      <c r="J28" s="500">
        <f t="shared" si="0"/>
        <v>0</v>
      </c>
      <c r="K28" s="506">
        <f t="shared" si="1"/>
        <v>0</v>
      </c>
    </row>
    <row r="29" spans="3:13" x14ac:dyDescent="0.3">
      <c r="C29" s="36">
        <f t="shared" si="2"/>
        <v>45157</v>
      </c>
      <c r="D29" s="773"/>
      <c r="E29" s="773"/>
      <c r="F29" s="773"/>
      <c r="G29" s="773"/>
      <c r="H29" s="773"/>
      <c r="I29" s="773"/>
      <c r="J29" s="500">
        <f t="shared" si="0"/>
        <v>0</v>
      </c>
      <c r="K29" s="506">
        <f t="shared" si="1"/>
        <v>0</v>
      </c>
      <c r="M29" s="267"/>
    </row>
    <row r="30" spans="3:13" x14ac:dyDescent="0.3">
      <c r="C30" s="36">
        <f t="shared" si="2"/>
        <v>45158</v>
      </c>
      <c r="D30" s="773"/>
      <c r="E30" s="773"/>
      <c r="F30" s="773"/>
      <c r="G30" s="773"/>
      <c r="H30" s="773"/>
      <c r="I30" s="773"/>
      <c r="J30" s="500">
        <f t="shared" si="0"/>
        <v>0</v>
      </c>
      <c r="K30" s="506">
        <f t="shared" si="1"/>
        <v>0</v>
      </c>
      <c r="M30" s="267"/>
    </row>
    <row r="31" spans="3:13" x14ac:dyDescent="0.3">
      <c r="C31" s="36">
        <f t="shared" si="2"/>
        <v>45159</v>
      </c>
      <c r="D31" s="773"/>
      <c r="E31" s="773"/>
      <c r="F31" s="773"/>
      <c r="G31" s="773"/>
      <c r="H31" s="773"/>
      <c r="I31" s="773"/>
      <c r="J31" s="500">
        <f t="shared" si="0"/>
        <v>0</v>
      </c>
      <c r="K31" s="506">
        <f t="shared" si="1"/>
        <v>0</v>
      </c>
      <c r="M31" s="267"/>
    </row>
    <row r="32" spans="3:13" x14ac:dyDescent="0.3">
      <c r="C32" s="36">
        <f t="shared" si="2"/>
        <v>45160</v>
      </c>
      <c r="D32" s="773"/>
      <c r="E32" s="773"/>
      <c r="F32" s="773"/>
      <c r="G32" s="773"/>
      <c r="H32" s="773"/>
      <c r="I32" s="773"/>
      <c r="J32" s="500">
        <f t="shared" si="0"/>
        <v>0</v>
      </c>
      <c r="K32" s="506">
        <f t="shared" si="1"/>
        <v>0</v>
      </c>
      <c r="M32" s="267"/>
    </row>
    <row r="33" spans="2:13" x14ac:dyDescent="0.3">
      <c r="C33" s="36">
        <f t="shared" si="2"/>
        <v>45161</v>
      </c>
      <c r="D33" s="773"/>
      <c r="E33" s="773"/>
      <c r="F33" s="773"/>
      <c r="G33" s="773"/>
      <c r="H33" s="773"/>
      <c r="I33" s="773"/>
      <c r="J33" s="500">
        <f t="shared" si="0"/>
        <v>0</v>
      </c>
      <c r="K33" s="506">
        <f t="shared" si="1"/>
        <v>0</v>
      </c>
      <c r="M33" s="267"/>
    </row>
    <row r="34" spans="2:13" x14ac:dyDescent="0.3">
      <c r="C34" s="36">
        <f t="shared" si="2"/>
        <v>45162</v>
      </c>
      <c r="D34" s="773"/>
      <c r="E34" s="773"/>
      <c r="F34" s="773"/>
      <c r="G34" s="773"/>
      <c r="H34" s="773"/>
      <c r="I34" s="773"/>
      <c r="J34" s="500">
        <f t="shared" si="0"/>
        <v>0</v>
      </c>
      <c r="K34" s="506">
        <f t="shared" si="1"/>
        <v>0</v>
      </c>
      <c r="M34" s="267"/>
    </row>
    <row r="35" spans="2:13" x14ac:dyDescent="0.3">
      <c r="C35" s="36">
        <f t="shared" si="2"/>
        <v>45163</v>
      </c>
      <c r="D35" s="773"/>
      <c r="E35" s="773"/>
      <c r="F35" s="773"/>
      <c r="G35" s="773"/>
      <c r="H35" s="773"/>
      <c r="I35" s="773"/>
      <c r="J35" s="500">
        <f t="shared" si="0"/>
        <v>0</v>
      </c>
      <c r="K35" s="506">
        <f t="shared" si="1"/>
        <v>0</v>
      </c>
      <c r="M35" s="267"/>
    </row>
    <row r="36" spans="2:13" x14ac:dyDescent="0.3">
      <c r="C36" s="36">
        <f t="shared" si="2"/>
        <v>45164</v>
      </c>
      <c r="D36" s="773"/>
      <c r="E36" s="773"/>
      <c r="F36" s="773"/>
      <c r="G36" s="773"/>
      <c r="H36" s="773"/>
      <c r="I36" s="773"/>
      <c r="J36" s="500">
        <f t="shared" si="0"/>
        <v>0</v>
      </c>
      <c r="K36" s="506">
        <f t="shared" si="1"/>
        <v>0</v>
      </c>
      <c r="M36" s="267"/>
    </row>
    <row r="37" spans="2:13" x14ac:dyDescent="0.3">
      <c r="C37" s="36">
        <f t="shared" si="2"/>
        <v>45165</v>
      </c>
      <c r="D37" s="773"/>
      <c r="E37" s="773"/>
      <c r="F37" s="773"/>
      <c r="G37" s="773"/>
      <c r="H37" s="773"/>
      <c r="I37" s="773"/>
      <c r="J37" s="500">
        <f t="shared" si="0"/>
        <v>0</v>
      </c>
      <c r="K37" s="506">
        <f t="shared" si="1"/>
        <v>0</v>
      </c>
      <c r="M37" s="267"/>
    </row>
    <row r="38" spans="2:13" x14ac:dyDescent="0.3">
      <c r="C38" s="36">
        <f t="shared" si="2"/>
        <v>45166</v>
      </c>
      <c r="D38" s="773"/>
      <c r="E38" s="773"/>
      <c r="F38" s="773"/>
      <c r="G38" s="773"/>
      <c r="H38" s="773"/>
      <c r="I38" s="773"/>
      <c r="J38" s="500">
        <f t="shared" si="0"/>
        <v>0</v>
      </c>
      <c r="K38" s="506">
        <f t="shared" si="1"/>
        <v>0</v>
      </c>
      <c r="M38" s="267"/>
    </row>
    <row r="39" spans="2:13" x14ac:dyDescent="0.3">
      <c r="C39" s="36">
        <f t="shared" si="2"/>
        <v>45167</v>
      </c>
      <c r="D39" s="773"/>
      <c r="E39" s="773"/>
      <c r="F39" s="773"/>
      <c r="G39" s="773"/>
      <c r="H39" s="773"/>
      <c r="I39" s="773"/>
      <c r="J39" s="500">
        <f t="shared" si="0"/>
        <v>0</v>
      </c>
      <c r="K39" s="506">
        <f t="shared" si="1"/>
        <v>0</v>
      </c>
      <c r="M39" s="267"/>
    </row>
    <row r="40" spans="2:13" x14ac:dyDescent="0.3">
      <c r="C40" s="36">
        <f t="shared" si="2"/>
        <v>45168</v>
      </c>
      <c r="D40" s="773"/>
      <c r="E40" s="773"/>
      <c r="F40" s="773"/>
      <c r="G40" s="773"/>
      <c r="H40" s="773"/>
      <c r="I40" s="773"/>
      <c r="J40" s="500">
        <f t="shared" si="0"/>
        <v>0</v>
      </c>
      <c r="K40" s="506">
        <f t="shared" si="1"/>
        <v>0</v>
      </c>
      <c r="M40" s="267"/>
    </row>
    <row r="41" spans="2:13" x14ac:dyDescent="0.3">
      <c r="C41" s="36" t="s">
        <v>556</v>
      </c>
      <c r="D41" s="778"/>
      <c r="E41" s="778"/>
      <c r="F41" s="778"/>
      <c r="G41" s="778"/>
      <c r="H41" s="778"/>
      <c r="I41" s="778"/>
      <c r="J41" s="500">
        <f>SUM(D41:I41)</f>
        <v>0</v>
      </c>
      <c r="K41" s="506">
        <f t="shared" si="1"/>
        <v>0</v>
      </c>
      <c r="M41" s="35"/>
    </row>
    <row r="42" spans="2:13" x14ac:dyDescent="0.3">
      <c r="C42" s="36"/>
      <c r="D42" s="192"/>
      <c r="E42" s="192"/>
      <c r="F42" s="192"/>
      <c r="G42" s="192"/>
      <c r="H42" s="192"/>
      <c r="I42" s="192"/>
      <c r="J42" s="192"/>
      <c r="K42" s="38"/>
    </row>
    <row r="43" spans="2:13" x14ac:dyDescent="0.3">
      <c r="C43" s="191" t="s">
        <v>186</v>
      </c>
      <c r="D43" s="192"/>
      <c r="E43" s="192"/>
      <c r="F43" s="192"/>
      <c r="G43" s="192"/>
      <c r="H43" s="192"/>
      <c r="I43" s="192"/>
      <c r="J43" s="192"/>
      <c r="K43" s="38"/>
    </row>
    <row r="44" spans="2:13" x14ac:dyDescent="0.3">
      <c r="C44" s="36" t="s">
        <v>197</v>
      </c>
      <c r="D44" s="192"/>
      <c r="E44" s="192"/>
      <c r="F44" s="192"/>
      <c r="G44" s="192"/>
      <c r="H44" s="192"/>
      <c r="I44" s="192"/>
      <c r="J44" s="192"/>
      <c r="K44" s="545">
        <f>'Facility Requested Meals + Bulk'!CE16+'Facility Requested Meals + Bulk'!CE33+'Facility Requested Meals + Bulk'!CE50+'Facility Requested Meals + Bulk'!CE67+'Facility Requested Meals + Bulk'!CE84+'Facility Requested Meals + Bulk'!CE101</f>
        <v>0</v>
      </c>
    </row>
    <row r="45" spans="2:13" x14ac:dyDescent="0.3">
      <c r="C45" s="36" t="s">
        <v>574</v>
      </c>
      <c r="D45" s="192"/>
      <c r="E45" s="192"/>
      <c r="F45" s="192"/>
      <c r="G45" s="192"/>
      <c r="H45" s="192"/>
      <c r="I45" s="192"/>
      <c r="J45" s="192"/>
      <c r="K45" s="168"/>
    </row>
    <row r="46" spans="2:13" x14ac:dyDescent="0.3">
      <c r="C46" s="36" t="s">
        <v>581</v>
      </c>
      <c r="D46" s="192"/>
      <c r="E46" s="192"/>
      <c r="F46" s="192"/>
      <c r="G46" s="192"/>
      <c r="H46" s="192"/>
      <c r="I46" s="192"/>
      <c r="J46" s="192"/>
      <c r="K46" s="38">
        <v>0</v>
      </c>
    </row>
    <row r="47" spans="2:13" x14ac:dyDescent="0.3">
      <c r="B47" t="s">
        <v>599</v>
      </c>
      <c r="C47" s="36" t="s">
        <v>185</v>
      </c>
      <c r="D47" s="192"/>
      <c r="E47" s="192"/>
      <c r="F47" s="192"/>
      <c r="G47" s="192"/>
      <c r="H47" s="192"/>
      <c r="I47" s="192"/>
      <c r="J47" s="192"/>
      <c r="K47" s="38">
        <f>'August - EE Credits FY23  '!O14</f>
        <v>0</v>
      </c>
    </row>
    <row r="48" spans="2:13" x14ac:dyDescent="0.3">
      <c r="B48" t="s">
        <v>599</v>
      </c>
      <c r="C48" s="36" t="s">
        <v>232</v>
      </c>
      <c r="D48" s="192"/>
      <c r="E48" s="192"/>
      <c r="F48" s="192"/>
      <c r="G48" s="192"/>
      <c r="H48" s="192"/>
      <c r="I48" s="192"/>
      <c r="J48" s="192"/>
      <c r="K48" s="38">
        <f>'August - EE Credits FY23  '!P14</f>
        <v>0</v>
      </c>
    </row>
    <row r="49" spans="2:12" x14ac:dyDescent="0.3">
      <c r="B49" t="s">
        <v>599</v>
      </c>
      <c r="C49" s="36" t="s">
        <v>245</v>
      </c>
      <c r="D49" s="192"/>
      <c r="E49" s="192"/>
      <c r="F49" s="192"/>
      <c r="G49" s="192"/>
      <c r="H49" s="192"/>
      <c r="I49" s="192"/>
      <c r="J49" s="192"/>
      <c r="K49" s="38">
        <v>0</v>
      </c>
    </row>
    <row r="50" spans="2:12" x14ac:dyDescent="0.3">
      <c r="B50" t="s">
        <v>599</v>
      </c>
      <c r="C50" s="36" t="s">
        <v>243</v>
      </c>
      <c r="D50" s="192"/>
      <c r="E50" s="192"/>
      <c r="F50" s="192"/>
      <c r="G50" s="192"/>
      <c r="H50" s="192"/>
      <c r="I50" s="192"/>
      <c r="J50" s="192"/>
      <c r="K50" s="506">
        <v>0</v>
      </c>
    </row>
    <row r="51" spans="2:12" x14ac:dyDescent="0.3">
      <c r="C51" s="36" t="s">
        <v>598</v>
      </c>
      <c r="D51" s="192"/>
      <c r="E51" s="192"/>
      <c r="F51" s="192"/>
      <c r="G51" s="192"/>
      <c r="H51" s="192"/>
      <c r="I51" s="192"/>
      <c r="J51" s="192"/>
      <c r="K51" s="38">
        <v>0</v>
      </c>
    </row>
    <row r="52" spans="2:12" x14ac:dyDescent="0.3">
      <c r="C52" s="205" t="s">
        <v>194</v>
      </c>
      <c r="D52" s="209"/>
      <c r="E52" s="209"/>
      <c r="F52" s="209"/>
      <c r="G52" s="209"/>
      <c r="H52" s="209"/>
      <c r="I52" s="209"/>
      <c r="J52" s="209"/>
      <c r="K52" s="649">
        <f>'Inv Usage Credits'!M73*-1</f>
        <v>0</v>
      </c>
    </row>
    <row r="53" spans="2:12" x14ac:dyDescent="0.3">
      <c r="C53" s="225"/>
      <c r="D53" s="226" t="s">
        <v>206</v>
      </c>
      <c r="E53" s="226"/>
      <c r="F53" s="226"/>
      <c r="G53" s="226"/>
      <c r="H53" s="226"/>
      <c r="I53" s="226"/>
      <c r="J53" s="226"/>
      <c r="K53" s="224">
        <f>SUM(K44:K52)</f>
        <v>0</v>
      </c>
    </row>
    <row r="54" spans="2:12" ht="15" thickBot="1" x14ac:dyDescent="0.35">
      <c r="C54" s="210"/>
      <c r="D54" s="211"/>
      <c r="E54" s="211"/>
      <c r="F54" s="211"/>
      <c r="G54" s="211"/>
      <c r="H54" s="211"/>
      <c r="I54" s="211"/>
      <c r="J54" s="211"/>
      <c r="K54" s="208"/>
    </row>
    <row r="55" spans="2:12" x14ac:dyDescent="0.3">
      <c r="C55" s="766"/>
      <c r="D55" s="35"/>
      <c r="E55" s="35"/>
      <c r="F55" s="35"/>
      <c r="G55" s="35"/>
      <c r="H55" s="35"/>
      <c r="I55" s="35"/>
      <c r="J55" s="35"/>
      <c r="K55" s="767"/>
    </row>
    <row r="57" spans="2:12" x14ac:dyDescent="0.3">
      <c r="C57" s="42" t="s">
        <v>13</v>
      </c>
      <c r="D57" s="212">
        <f>SUM(D11:D41)</f>
        <v>0</v>
      </c>
      <c r="E57" s="212">
        <f t="shared" ref="E57:J57" si="3">SUM(E11:E41)</f>
        <v>0</v>
      </c>
      <c r="F57" s="212">
        <f t="shared" si="3"/>
        <v>0</v>
      </c>
      <c r="G57" s="212">
        <f t="shared" si="3"/>
        <v>0</v>
      </c>
      <c r="H57" s="212">
        <f t="shared" si="3"/>
        <v>0</v>
      </c>
      <c r="I57" s="212">
        <f t="shared" si="3"/>
        <v>0</v>
      </c>
      <c r="J57" s="212">
        <f t="shared" si="3"/>
        <v>0</v>
      </c>
      <c r="K57" s="168">
        <f>(SUM(D57:H57)*1.672)+(I57*1.74)</f>
        <v>0</v>
      </c>
    </row>
    <row r="58" spans="2:12" x14ac:dyDescent="0.3">
      <c r="D58" s="212"/>
      <c r="E58" s="212"/>
      <c r="F58" s="212"/>
      <c r="G58" s="212"/>
      <c r="H58" s="212"/>
      <c r="I58" s="212"/>
      <c r="J58" s="212"/>
      <c r="K58" s="756"/>
    </row>
    <row r="59" spans="2:12" ht="18" x14ac:dyDescent="0.35">
      <c r="G59" s="188"/>
      <c r="H59" s="188"/>
      <c r="I59" s="188"/>
      <c r="J59" s="188" t="s">
        <v>241</v>
      </c>
      <c r="K59" s="784">
        <f>K53+K57+K58</f>
        <v>0</v>
      </c>
      <c r="L59" s="41"/>
    </row>
    <row r="68" hidden="1" x14ac:dyDescent="0.3"/>
  </sheetData>
  <mergeCells count="3">
    <mergeCell ref="G5:J5"/>
    <mergeCell ref="G6:J6"/>
    <mergeCell ref="J7:K7"/>
  </mergeCells>
  <pageMargins left="0.45" right="0.45" top="0.25" bottom="0.25" header="0" footer="0"/>
  <pageSetup scale="59" fitToHeight="0" orientation="portrait" r:id="rId1"/>
  <rowBreaks count="2" manualBreakCount="2">
    <brk id="62" max="11" man="1"/>
    <brk id="66" max="11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C00"/>
    <pageSetUpPr fitToPage="1"/>
  </sheetPr>
  <dimension ref="A1:R137"/>
  <sheetViews>
    <sheetView zoomScale="80" zoomScaleNormal="80" workbookViewId="0">
      <pane xSplit="5" ySplit="2" topLeftCell="F57" activePane="bottomRight" state="frozen"/>
      <selection activeCell="B13" sqref="B13"/>
      <selection pane="topRight" activeCell="B13" sqref="B13"/>
      <selection pane="bottomLeft" activeCell="B13" sqref="B13"/>
      <selection pane="bottomRight" activeCell="N23" sqref="N23"/>
    </sheetView>
  </sheetViews>
  <sheetFormatPr defaultRowHeight="14.4" x14ac:dyDescent="0.3"/>
  <cols>
    <col min="1" max="1" width="15.109375" style="261" bestFit="1" customWidth="1"/>
    <col min="2" max="2" width="9.109375" style="261"/>
    <col min="3" max="3" width="55.5546875" style="261" customWidth="1"/>
    <col min="4" max="4" width="7.5546875" style="261" customWidth="1"/>
    <col min="5" max="5" width="13.5546875" style="261" customWidth="1"/>
    <col min="6" max="6" width="3.5546875" style="227" customWidth="1"/>
    <col min="7" max="7" width="5.5546875" customWidth="1"/>
    <col min="8" max="8" width="13.44140625" customWidth="1"/>
    <col min="9" max="9" width="11.109375" customWidth="1"/>
    <col min="10" max="10" width="13.44140625" customWidth="1"/>
    <col min="11" max="11" width="11.109375" customWidth="1"/>
    <col min="12" max="12" width="12.109375" customWidth="1"/>
    <col min="13" max="13" width="10.88671875" customWidth="1"/>
    <col min="15" max="15" width="9.5546875" bestFit="1" customWidth="1"/>
    <col min="16" max="16" width="13.44140625" customWidth="1"/>
    <col min="17" max="17" width="11.109375" customWidth="1"/>
    <col min="18" max="18" width="9.5546875" bestFit="1" customWidth="1"/>
  </cols>
  <sheetData>
    <row r="1" spans="1:17" ht="31.5" customHeight="1" x14ac:dyDescent="0.3">
      <c r="A1" s="260"/>
      <c r="H1" s="889" t="s">
        <v>560</v>
      </c>
      <c r="I1" s="889"/>
      <c r="J1" s="889" t="s">
        <v>561</v>
      </c>
      <c r="K1" s="889"/>
      <c r="L1" s="889" t="s">
        <v>568</v>
      </c>
      <c r="M1" s="889"/>
      <c r="N1" s="889" t="s">
        <v>562</v>
      </c>
      <c r="O1" s="889"/>
      <c r="P1" s="889" t="s">
        <v>582</v>
      </c>
      <c r="Q1" s="889"/>
    </row>
    <row r="2" spans="1:17" s="454" customFormat="1" ht="46.8" x14ac:dyDescent="0.3">
      <c r="A2" s="451" t="s">
        <v>207</v>
      </c>
      <c r="B2" s="888" t="s">
        <v>208</v>
      </c>
      <c r="C2" s="888"/>
      <c r="D2" s="451" t="s">
        <v>209</v>
      </c>
      <c r="E2" s="451" t="s">
        <v>210</v>
      </c>
      <c r="F2" s="453"/>
      <c r="H2" s="228" t="s">
        <v>198</v>
      </c>
      <c r="I2" s="452" t="s">
        <v>211</v>
      </c>
      <c r="J2" s="228" t="s">
        <v>198</v>
      </c>
      <c r="K2" s="541" t="s">
        <v>211</v>
      </c>
      <c r="L2" s="228" t="s">
        <v>198</v>
      </c>
      <c r="M2" s="721" t="s">
        <v>211</v>
      </c>
      <c r="N2" s="228" t="s">
        <v>198</v>
      </c>
      <c r="O2" s="721" t="s">
        <v>211</v>
      </c>
      <c r="P2" s="228" t="s">
        <v>198</v>
      </c>
      <c r="Q2" s="752" t="s">
        <v>211</v>
      </c>
    </row>
    <row r="3" spans="1:17" ht="15.6" x14ac:dyDescent="0.3">
      <c r="A3" s="255" t="s">
        <v>556</v>
      </c>
      <c r="B3" s="288" t="s">
        <v>556</v>
      </c>
      <c r="C3" s="289"/>
      <c r="D3" s="256" t="s">
        <v>609</v>
      </c>
      <c r="E3" s="257">
        <v>42</v>
      </c>
      <c r="H3" s="229"/>
      <c r="I3" s="230">
        <f>H3*$E3</f>
        <v>0</v>
      </c>
      <c r="J3" s="229">
        <v>0</v>
      </c>
      <c r="K3" s="230">
        <f>J3*$E3</f>
        <v>0</v>
      </c>
      <c r="L3" s="229"/>
      <c r="M3" s="230">
        <f>L3*$E3</f>
        <v>0</v>
      </c>
      <c r="N3" s="229"/>
      <c r="O3" s="230">
        <f>N3*$E3</f>
        <v>0</v>
      </c>
      <c r="P3" s="229"/>
      <c r="Q3" s="230">
        <f>P3*$E3</f>
        <v>0</v>
      </c>
    </row>
    <row r="4" spans="1:17" ht="15.6" x14ac:dyDescent="0.3">
      <c r="A4" s="255">
        <v>1000145883</v>
      </c>
      <c r="B4" s="288" t="s">
        <v>471</v>
      </c>
      <c r="C4" s="289"/>
      <c r="D4" s="256" t="s">
        <v>235</v>
      </c>
      <c r="E4" s="257">
        <v>3.87</v>
      </c>
      <c r="H4" s="229"/>
      <c r="I4" s="230">
        <f t="shared" ref="I4:I72" si="0">H4*$E4</f>
        <v>0</v>
      </c>
      <c r="J4" s="229"/>
      <c r="K4" s="230">
        <f t="shared" ref="K4:M72" si="1">J4*$E4</f>
        <v>0</v>
      </c>
      <c r="L4" s="229"/>
      <c r="M4" s="230">
        <f t="shared" si="1"/>
        <v>0</v>
      </c>
      <c r="N4" s="229"/>
      <c r="O4" s="230">
        <f t="shared" ref="O4:O66" si="2">N4*$E4</f>
        <v>0</v>
      </c>
      <c r="P4" s="229"/>
      <c r="Q4" s="230">
        <f t="shared" ref="Q4:Q72" si="3">P4*$E4</f>
        <v>0</v>
      </c>
    </row>
    <row r="5" spans="1:17" ht="15.6" x14ac:dyDescent="0.3">
      <c r="A5" s="255" t="s">
        <v>556</v>
      </c>
      <c r="B5" s="290" t="s">
        <v>629</v>
      </c>
      <c r="C5" s="291"/>
      <c r="D5" s="256" t="s">
        <v>235</v>
      </c>
      <c r="E5" s="257">
        <v>3.89</v>
      </c>
      <c r="H5" s="229"/>
      <c r="I5" s="230">
        <f t="shared" si="0"/>
        <v>0</v>
      </c>
      <c r="J5" s="229"/>
      <c r="K5" s="230">
        <f t="shared" si="1"/>
        <v>0</v>
      </c>
      <c r="L5" s="229"/>
      <c r="M5" s="230">
        <f t="shared" si="1"/>
        <v>0</v>
      </c>
      <c r="N5" s="229"/>
      <c r="O5" s="230">
        <f t="shared" si="2"/>
        <v>0</v>
      </c>
      <c r="P5" s="229">
        <v>0</v>
      </c>
      <c r="Q5" s="230">
        <f t="shared" si="3"/>
        <v>0</v>
      </c>
    </row>
    <row r="6" spans="1:17" ht="15.6" x14ac:dyDescent="0.3">
      <c r="A6" s="255"/>
      <c r="B6" s="290" t="s">
        <v>505</v>
      </c>
      <c r="C6" s="291"/>
      <c r="D6" s="256" t="s">
        <v>235</v>
      </c>
      <c r="E6" s="257">
        <v>15.15</v>
      </c>
      <c r="H6" s="229"/>
      <c r="I6" s="230">
        <f t="shared" si="0"/>
        <v>0</v>
      </c>
      <c r="J6" s="229"/>
      <c r="K6" s="230">
        <f t="shared" si="1"/>
        <v>0</v>
      </c>
      <c r="L6" s="229"/>
      <c r="M6" s="230">
        <f t="shared" si="1"/>
        <v>0</v>
      </c>
      <c r="N6" s="229"/>
      <c r="O6" s="230">
        <f t="shared" si="2"/>
        <v>0</v>
      </c>
      <c r="P6" s="229">
        <v>0</v>
      </c>
      <c r="Q6" s="230">
        <f t="shared" si="3"/>
        <v>0</v>
      </c>
    </row>
    <row r="7" spans="1:17" ht="15.6" x14ac:dyDescent="0.3">
      <c r="A7" s="255">
        <v>1000132579</v>
      </c>
      <c r="B7" s="290" t="s">
        <v>506</v>
      </c>
      <c r="C7" s="291"/>
      <c r="D7" s="256" t="s">
        <v>235</v>
      </c>
      <c r="E7" s="257">
        <v>5.84</v>
      </c>
      <c r="H7" s="229"/>
      <c r="I7" s="230">
        <f t="shared" si="0"/>
        <v>0</v>
      </c>
      <c r="J7" s="229"/>
      <c r="K7" s="230">
        <f t="shared" si="1"/>
        <v>0</v>
      </c>
      <c r="L7" s="229"/>
      <c r="M7" s="230">
        <f t="shared" si="1"/>
        <v>0</v>
      </c>
      <c r="N7" s="229"/>
      <c r="O7" s="230">
        <f t="shared" si="2"/>
        <v>0</v>
      </c>
      <c r="P7" s="229"/>
      <c r="Q7" s="230">
        <f t="shared" si="3"/>
        <v>0</v>
      </c>
    </row>
    <row r="8" spans="1:17" ht="15.6" x14ac:dyDescent="0.3">
      <c r="A8" s="255" t="s">
        <v>556</v>
      </c>
      <c r="B8" s="290" t="s">
        <v>634</v>
      </c>
      <c r="C8" s="291"/>
      <c r="D8" s="256" t="s">
        <v>235</v>
      </c>
      <c r="E8" s="257">
        <v>10.5</v>
      </c>
      <c r="H8" s="229"/>
      <c r="I8" s="230">
        <f t="shared" si="0"/>
        <v>0</v>
      </c>
      <c r="J8" s="229"/>
      <c r="K8" s="230">
        <f t="shared" si="1"/>
        <v>0</v>
      </c>
      <c r="L8" s="229"/>
      <c r="M8" s="230">
        <f t="shared" si="1"/>
        <v>0</v>
      </c>
      <c r="N8" s="229"/>
      <c r="O8" s="230">
        <f t="shared" si="2"/>
        <v>0</v>
      </c>
      <c r="P8" s="229">
        <v>0</v>
      </c>
      <c r="Q8" s="230">
        <f t="shared" si="3"/>
        <v>0</v>
      </c>
    </row>
    <row r="9" spans="1:17" ht="15.6" x14ac:dyDescent="0.3">
      <c r="A9" s="255">
        <v>1000132592</v>
      </c>
      <c r="B9" s="290" t="s">
        <v>507</v>
      </c>
      <c r="C9" s="291"/>
      <c r="D9" s="256" t="s">
        <v>235</v>
      </c>
      <c r="E9" s="257">
        <v>6.64</v>
      </c>
      <c r="H9" s="229"/>
      <c r="I9" s="230">
        <f t="shared" si="0"/>
        <v>0</v>
      </c>
      <c r="J9" s="229">
        <v>0</v>
      </c>
      <c r="K9" s="230">
        <f t="shared" si="1"/>
        <v>0</v>
      </c>
      <c r="L9" s="229"/>
      <c r="M9" s="230">
        <f t="shared" si="1"/>
        <v>0</v>
      </c>
      <c r="N9" s="229"/>
      <c r="O9" s="230">
        <f t="shared" si="2"/>
        <v>0</v>
      </c>
      <c r="P9" s="229"/>
      <c r="Q9" s="230">
        <f t="shared" si="3"/>
        <v>0</v>
      </c>
    </row>
    <row r="10" spans="1:17" ht="15.6" x14ac:dyDescent="0.3">
      <c r="A10" s="255">
        <v>1000007506</v>
      </c>
      <c r="B10" s="886" t="s">
        <v>484</v>
      </c>
      <c r="C10" s="887"/>
      <c r="D10" s="256" t="s">
        <v>235</v>
      </c>
      <c r="E10" s="257">
        <v>7.24</v>
      </c>
      <c r="H10" s="229"/>
      <c r="I10" s="230">
        <f t="shared" si="0"/>
        <v>0</v>
      </c>
      <c r="J10" s="229"/>
      <c r="K10" s="230">
        <f t="shared" si="1"/>
        <v>0</v>
      </c>
      <c r="L10" s="229"/>
      <c r="M10" s="230">
        <f t="shared" si="1"/>
        <v>0</v>
      </c>
      <c r="N10" s="229"/>
      <c r="O10" s="230">
        <f t="shared" si="2"/>
        <v>0</v>
      </c>
      <c r="P10" s="229"/>
      <c r="Q10" s="230">
        <f t="shared" si="3"/>
        <v>0</v>
      </c>
    </row>
    <row r="11" spans="1:17" ht="15.6" x14ac:dyDescent="0.3">
      <c r="A11" s="255">
        <v>1000161112</v>
      </c>
      <c r="B11" s="886" t="s">
        <v>508</v>
      </c>
      <c r="C11" s="887"/>
      <c r="D11" s="355" t="s">
        <v>235</v>
      </c>
      <c r="E11" s="356">
        <v>9.9</v>
      </c>
      <c r="H11" s="357"/>
      <c r="I11" s="230">
        <f t="shared" si="0"/>
        <v>0</v>
      </c>
      <c r="J11" s="357">
        <v>0</v>
      </c>
      <c r="K11" s="230">
        <f t="shared" si="1"/>
        <v>0</v>
      </c>
      <c r="L11" s="357"/>
      <c r="M11" s="230">
        <f t="shared" si="1"/>
        <v>0</v>
      </c>
      <c r="N11" s="357"/>
      <c r="O11" s="230">
        <f t="shared" si="2"/>
        <v>0</v>
      </c>
      <c r="P11" s="357"/>
      <c r="Q11" s="230">
        <f t="shared" si="3"/>
        <v>0</v>
      </c>
    </row>
    <row r="12" spans="1:17" ht="15.6" x14ac:dyDescent="0.3">
      <c r="A12" s="255">
        <v>1000105195</v>
      </c>
      <c r="B12" s="886" t="s">
        <v>485</v>
      </c>
      <c r="C12" s="887"/>
      <c r="D12" s="256" t="s">
        <v>235</v>
      </c>
      <c r="E12" s="257">
        <v>5.41</v>
      </c>
      <c r="H12" s="229"/>
      <c r="I12" s="230">
        <f t="shared" si="0"/>
        <v>0</v>
      </c>
      <c r="J12" s="229">
        <v>0</v>
      </c>
      <c r="K12" s="230">
        <f t="shared" si="1"/>
        <v>0</v>
      </c>
      <c r="L12" s="229"/>
      <c r="M12" s="230">
        <f t="shared" si="1"/>
        <v>0</v>
      </c>
      <c r="N12" s="229"/>
      <c r="O12" s="230">
        <f t="shared" si="2"/>
        <v>0</v>
      </c>
      <c r="P12" s="229"/>
      <c r="Q12" s="230">
        <f t="shared" si="3"/>
        <v>0</v>
      </c>
    </row>
    <row r="13" spans="1:17" ht="15.6" x14ac:dyDescent="0.3">
      <c r="A13" s="255" t="s">
        <v>556</v>
      </c>
      <c r="B13" s="886" t="s">
        <v>641</v>
      </c>
      <c r="C13" s="887"/>
      <c r="D13" s="355" t="s">
        <v>235</v>
      </c>
      <c r="E13" s="356">
        <v>87.774000000000001</v>
      </c>
      <c r="H13" s="357"/>
      <c r="I13" s="230">
        <f t="shared" si="0"/>
        <v>0</v>
      </c>
      <c r="J13" s="357">
        <v>0</v>
      </c>
      <c r="K13" s="230">
        <f t="shared" si="1"/>
        <v>0</v>
      </c>
      <c r="L13" s="357"/>
      <c r="M13" s="230">
        <f t="shared" si="1"/>
        <v>0</v>
      </c>
      <c r="N13" s="357"/>
      <c r="O13" s="230">
        <f t="shared" si="2"/>
        <v>0</v>
      </c>
      <c r="P13" s="357">
        <v>0</v>
      </c>
      <c r="Q13" s="230">
        <f t="shared" si="3"/>
        <v>0</v>
      </c>
    </row>
    <row r="14" spans="1:17" ht="15.6" x14ac:dyDescent="0.3">
      <c r="A14" s="255" t="s">
        <v>556</v>
      </c>
      <c r="B14" s="354" t="s">
        <v>554</v>
      </c>
      <c r="C14" s="291"/>
      <c r="D14" s="355" t="s">
        <v>235</v>
      </c>
      <c r="E14" s="356">
        <v>14.602</v>
      </c>
      <c r="H14" s="357"/>
      <c r="I14" s="230">
        <f t="shared" si="0"/>
        <v>0</v>
      </c>
      <c r="J14" s="357">
        <v>0</v>
      </c>
      <c r="K14" s="230">
        <f t="shared" si="1"/>
        <v>0</v>
      </c>
      <c r="L14" s="357"/>
      <c r="M14" s="230">
        <f t="shared" si="1"/>
        <v>0</v>
      </c>
      <c r="N14" s="357"/>
      <c r="O14" s="230">
        <f t="shared" si="2"/>
        <v>0</v>
      </c>
      <c r="P14" s="357">
        <v>0</v>
      </c>
      <c r="Q14" s="230">
        <f t="shared" si="3"/>
        <v>0</v>
      </c>
    </row>
    <row r="15" spans="1:17" ht="15.6" x14ac:dyDescent="0.3">
      <c r="A15" s="255">
        <v>1000158190</v>
      </c>
      <c r="B15" s="354" t="s">
        <v>439</v>
      </c>
      <c r="C15" s="291"/>
      <c r="D15" s="355" t="s">
        <v>234</v>
      </c>
      <c r="E15" s="356">
        <v>20</v>
      </c>
      <c r="H15" s="357"/>
      <c r="I15" s="230">
        <f t="shared" si="0"/>
        <v>0</v>
      </c>
      <c r="J15" s="357"/>
      <c r="K15" s="230">
        <f t="shared" si="1"/>
        <v>0</v>
      </c>
      <c r="L15" s="357"/>
      <c r="M15" s="230">
        <f t="shared" si="1"/>
        <v>0</v>
      </c>
      <c r="N15" s="357"/>
      <c r="O15" s="230">
        <f t="shared" si="2"/>
        <v>0</v>
      </c>
      <c r="P15" s="357"/>
      <c r="Q15" s="230">
        <f t="shared" si="3"/>
        <v>0</v>
      </c>
    </row>
    <row r="16" spans="1:17" ht="15.6" x14ac:dyDescent="0.3">
      <c r="A16" s="255" t="s">
        <v>556</v>
      </c>
      <c r="B16" s="354" t="s">
        <v>633</v>
      </c>
      <c r="C16" s="291"/>
      <c r="D16" s="355" t="s">
        <v>234</v>
      </c>
      <c r="E16" s="356">
        <v>79.2</v>
      </c>
      <c r="H16" s="357"/>
      <c r="I16" s="230">
        <f t="shared" si="0"/>
        <v>0</v>
      </c>
      <c r="J16" s="357"/>
      <c r="K16" s="230">
        <f t="shared" si="1"/>
        <v>0</v>
      </c>
      <c r="L16" s="357"/>
      <c r="M16" s="230">
        <f t="shared" si="1"/>
        <v>0</v>
      </c>
      <c r="N16" s="357">
        <v>0</v>
      </c>
      <c r="O16" s="230">
        <f t="shared" si="2"/>
        <v>0</v>
      </c>
      <c r="P16" s="357"/>
      <c r="Q16" s="230">
        <f t="shared" si="3"/>
        <v>0</v>
      </c>
    </row>
    <row r="17" spans="1:17" ht="15.6" x14ac:dyDescent="0.3">
      <c r="A17" s="377">
        <v>1000143697</v>
      </c>
      <c r="B17" s="388" t="s">
        <v>576</v>
      </c>
      <c r="C17" s="389"/>
      <c r="D17" s="390" t="s">
        <v>542</v>
      </c>
      <c r="E17" s="391">
        <v>0.61</v>
      </c>
      <c r="H17" s="392"/>
      <c r="I17" s="544">
        <f t="shared" si="0"/>
        <v>0</v>
      </c>
      <c r="J17" s="392"/>
      <c r="K17" s="544">
        <f t="shared" si="1"/>
        <v>0</v>
      </c>
      <c r="L17" s="392">
        <v>0</v>
      </c>
      <c r="M17" s="544">
        <f t="shared" si="1"/>
        <v>0</v>
      </c>
      <c r="N17" s="392"/>
      <c r="O17" s="544">
        <f t="shared" si="2"/>
        <v>0</v>
      </c>
      <c r="P17" s="392"/>
      <c r="Q17" s="544">
        <f t="shared" si="3"/>
        <v>0</v>
      </c>
    </row>
    <row r="18" spans="1:17" ht="15.6" x14ac:dyDescent="0.3">
      <c r="A18" s="377"/>
      <c r="B18" s="388" t="s">
        <v>593</v>
      </c>
      <c r="C18" s="389"/>
      <c r="D18" s="390" t="s">
        <v>234</v>
      </c>
      <c r="E18" s="391">
        <v>41.3</v>
      </c>
      <c r="H18" s="392"/>
      <c r="I18" s="544">
        <f t="shared" si="0"/>
        <v>0</v>
      </c>
      <c r="J18" s="392"/>
      <c r="K18" s="544">
        <f t="shared" si="1"/>
        <v>0</v>
      </c>
      <c r="L18" s="392"/>
      <c r="M18" s="544">
        <f t="shared" si="1"/>
        <v>0</v>
      </c>
      <c r="N18" s="392"/>
      <c r="O18" s="544">
        <f t="shared" si="2"/>
        <v>0</v>
      </c>
      <c r="P18" s="392"/>
      <c r="Q18" s="544">
        <f t="shared" si="3"/>
        <v>0</v>
      </c>
    </row>
    <row r="19" spans="1:17" ht="15.6" x14ac:dyDescent="0.3">
      <c r="A19" s="377">
        <v>1000104923</v>
      </c>
      <c r="B19" s="388" t="s">
        <v>577</v>
      </c>
      <c r="C19" s="389"/>
      <c r="D19" s="390" t="s">
        <v>578</v>
      </c>
      <c r="E19" s="391">
        <v>1.5549999999999999</v>
      </c>
      <c r="H19" s="392"/>
      <c r="I19" s="544">
        <f t="shared" si="0"/>
        <v>0</v>
      </c>
      <c r="J19" s="392"/>
      <c r="K19" s="544">
        <f t="shared" si="1"/>
        <v>0</v>
      </c>
      <c r="L19" s="392">
        <v>0</v>
      </c>
      <c r="M19" s="544">
        <f t="shared" si="1"/>
        <v>0</v>
      </c>
      <c r="N19" s="392"/>
      <c r="O19" s="544">
        <f t="shared" si="2"/>
        <v>0</v>
      </c>
      <c r="P19" s="392"/>
      <c r="Q19" s="544">
        <f t="shared" si="3"/>
        <v>0</v>
      </c>
    </row>
    <row r="20" spans="1:17" ht="15.6" x14ac:dyDescent="0.3">
      <c r="A20" s="377">
        <v>1000181933</v>
      </c>
      <c r="B20" s="388" t="s">
        <v>579</v>
      </c>
      <c r="C20" s="389"/>
      <c r="D20" s="390" t="s">
        <v>470</v>
      </c>
      <c r="E20" s="391">
        <v>6.1879999999999997</v>
      </c>
      <c r="H20" s="392"/>
      <c r="I20" s="544">
        <f t="shared" si="0"/>
        <v>0</v>
      </c>
      <c r="J20" s="392"/>
      <c r="K20" s="544">
        <f t="shared" si="1"/>
        <v>0</v>
      </c>
      <c r="L20" s="392"/>
      <c r="M20" s="544">
        <f t="shared" si="1"/>
        <v>0</v>
      </c>
      <c r="N20" s="392"/>
      <c r="O20" s="544">
        <f t="shared" si="2"/>
        <v>0</v>
      </c>
      <c r="P20" s="392"/>
      <c r="Q20" s="544">
        <f t="shared" si="3"/>
        <v>0</v>
      </c>
    </row>
    <row r="21" spans="1:17" ht="15.6" x14ac:dyDescent="0.3">
      <c r="A21" s="255">
        <v>1000130339</v>
      </c>
      <c r="B21" s="354" t="s">
        <v>441</v>
      </c>
      <c r="C21" s="291"/>
      <c r="D21" s="355" t="s">
        <v>234</v>
      </c>
      <c r="E21" s="356">
        <v>9.24</v>
      </c>
      <c r="H21" s="357"/>
      <c r="I21" s="230">
        <f t="shared" si="0"/>
        <v>0</v>
      </c>
      <c r="J21" s="357"/>
      <c r="K21" s="230">
        <f t="shared" si="1"/>
        <v>0</v>
      </c>
      <c r="L21" s="357"/>
      <c r="M21" s="230">
        <f t="shared" si="1"/>
        <v>0</v>
      </c>
      <c r="N21" s="357">
        <v>0</v>
      </c>
      <c r="O21" s="230">
        <f t="shared" si="2"/>
        <v>0</v>
      </c>
      <c r="P21" s="357"/>
      <c r="Q21" s="230">
        <f t="shared" si="3"/>
        <v>0</v>
      </c>
    </row>
    <row r="22" spans="1:17" ht="15.6" x14ac:dyDescent="0.3">
      <c r="A22" s="255" t="s">
        <v>556</v>
      </c>
      <c r="B22" s="354" t="s">
        <v>442</v>
      </c>
      <c r="C22" s="291"/>
      <c r="D22" s="355" t="s">
        <v>235</v>
      </c>
      <c r="E22" s="356">
        <v>13.68</v>
      </c>
      <c r="H22" s="357"/>
      <c r="I22" s="230">
        <f t="shared" si="0"/>
        <v>0</v>
      </c>
      <c r="J22" s="357"/>
      <c r="K22" s="230">
        <f t="shared" si="1"/>
        <v>0</v>
      </c>
      <c r="L22" s="357">
        <v>0</v>
      </c>
      <c r="M22" s="230">
        <f t="shared" si="1"/>
        <v>0</v>
      </c>
      <c r="N22" s="357">
        <v>0</v>
      </c>
      <c r="O22" s="230">
        <f t="shared" si="2"/>
        <v>0</v>
      </c>
      <c r="P22" s="357"/>
      <c r="Q22" s="230">
        <f t="shared" si="3"/>
        <v>0</v>
      </c>
    </row>
    <row r="23" spans="1:17" ht="15.6" x14ac:dyDescent="0.3">
      <c r="A23" s="377">
        <v>1000125102</v>
      </c>
      <c r="B23" s="388" t="s">
        <v>664</v>
      </c>
      <c r="C23" s="389"/>
      <c r="D23" s="390" t="s">
        <v>235</v>
      </c>
      <c r="E23" s="391">
        <v>28.65</v>
      </c>
      <c r="H23" s="392"/>
      <c r="I23" s="544">
        <f t="shared" si="0"/>
        <v>0</v>
      </c>
      <c r="J23" s="392">
        <v>0</v>
      </c>
      <c r="K23" s="544">
        <f t="shared" si="1"/>
        <v>0</v>
      </c>
      <c r="L23" s="392"/>
      <c r="M23" s="544">
        <f t="shared" si="1"/>
        <v>0</v>
      </c>
      <c r="N23" s="392"/>
      <c r="O23" s="544"/>
      <c r="P23" s="392"/>
      <c r="Q23" s="544">
        <f t="shared" si="3"/>
        <v>0</v>
      </c>
    </row>
    <row r="24" spans="1:17" ht="15.6" x14ac:dyDescent="0.3">
      <c r="A24" s="377">
        <v>1000154879</v>
      </c>
      <c r="B24" s="388" t="s">
        <v>665</v>
      </c>
      <c r="C24" s="389"/>
      <c r="D24" s="390" t="s">
        <v>235</v>
      </c>
      <c r="E24" s="391">
        <v>21.45</v>
      </c>
      <c r="H24" s="392"/>
      <c r="I24" s="544">
        <f t="shared" si="0"/>
        <v>0</v>
      </c>
      <c r="J24" s="392">
        <v>0</v>
      </c>
      <c r="K24" s="544">
        <f t="shared" si="1"/>
        <v>0</v>
      </c>
      <c r="L24" s="392"/>
      <c r="M24" s="544">
        <f t="shared" si="1"/>
        <v>0</v>
      </c>
      <c r="N24" s="392"/>
      <c r="O24" s="544"/>
      <c r="P24" s="392"/>
      <c r="Q24" s="544">
        <f t="shared" si="3"/>
        <v>0</v>
      </c>
    </row>
    <row r="25" spans="1:17" ht="15.6" x14ac:dyDescent="0.3">
      <c r="A25" s="377">
        <v>1000141591</v>
      </c>
      <c r="B25" s="388" t="s">
        <v>668</v>
      </c>
      <c r="C25" s="389"/>
      <c r="D25" s="390" t="s">
        <v>234</v>
      </c>
      <c r="E25" s="391">
        <v>23.28</v>
      </c>
      <c r="H25" s="392">
        <v>0</v>
      </c>
      <c r="I25" s="544">
        <f t="shared" si="0"/>
        <v>0</v>
      </c>
      <c r="J25" s="392"/>
      <c r="K25" s="544">
        <f t="shared" si="1"/>
        <v>0</v>
      </c>
      <c r="L25" s="392"/>
      <c r="M25" s="544">
        <f t="shared" si="1"/>
        <v>0</v>
      </c>
      <c r="N25" s="392">
        <v>0</v>
      </c>
      <c r="O25" s="544">
        <f t="shared" si="2"/>
        <v>0</v>
      </c>
      <c r="P25" s="392"/>
      <c r="Q25" s="544">
        <f t="shared" si="3"/>
        <v>0</v>
      </c>
    </row>
    <row r="26" spans="1:17" ht="15.6" x14ac:dyDescent="0.3">
      <c r="A26" s="377">
        <v>1000115322</v>
      </c>
      <c r="B26" s="388" t="s">
        <v>669</v>
      </c>
      <c r="C26" s="389"/>
      <c r="D26" s="390" t="s">
        <v>234</v>
      </c>
      <c r="E26" s="391">
        <v>13.78</v>
      </c>
      <c r="H26" s="392">
        <v>0</v>
      </c>
      <c r="I26" s="544">
        <f t="shared" si="0"/>
        <v>0</v>
      </c>
      <c r="J26" s="392"/>
      <c r="K26" s="544">
        <f t="shared" si="1"/>
        <v>0</v>
      </c>
      <c r="L26" s="392"/>
      <c r="M26" s="544">
        <f t="shared" si="1"/>
        <v>0</v>
      </c>
      <c r="N26" s="392">
        <v>0</v>
      </c>
      <c r="O26" s="544">
        <f t="shared" si="2"/>
        <v>0</v>
      </c>
      <c r="P26" s="392"/>
      <c r="Q26" s="544">
        <f t="shared" si="3"/>
        <v>0</v>
      </c>
    </row>
    <row r="27" spans="1:17" ht="15.6" x14ac:dyDescent="0.3">
      <c r="A27" s="377"/>
      <c r="B27" s="388" t="s">
        <v>583</v>
      </c>
      <c r="C27" s="389"/>
      <c r="D27" s="390" t="s">
        <v>234</v>
      </c>
      <c r="E27" s="391">
        <v>10.85</v>
      </c>
      <c r="H27" s="392"/>
      <c r="I27" s="544">
        <f t="shared" si="0"/>
        <v>0</v>
      </c>
      <c r="J27" s="392"/>
      <c r="K27" s="544">
        <f t="shared" si="1"/>
        <v>0</v>
      </c>
      <c r="L27" s="392"/>
      <c r="M27" s="544">
        <f t="shared" si="1"/>
        <v>0</v>
      </c>
      <c r="N27" s="392"/>
      <c r="O27" s="544">
        <f t="shared" si="2"/>
        <v>0</v>
      </c>
      <c r="P27" s="392"/>
      <c r="Q27" s="544">
        <f t="shared" si="3"/>
        <v>0</v>
      </c>
    </row>
    <row r="28" spans="1:17" ht="15.6" x14ac:dyDescent="0.3">
      <c r="A28" s="255">
        <v>1000115321</v>
      </c>
      <c r="B28" s="354" t="s">
        <v>443</v>
      </c>
      <c r="C28" s="291"/>
      <c r="D28" s="355" t="s">
        <v>234</v>
      </c>
      <c r="E28" s="356">
        <v>10.85</v>
      </c>
      <c r="H28" s="357"/>
      <c r="I28" s="230">
        <f t="shared" si="0"/>
        <v>0</v>
      </c>
      <c r="J28" s="357">
        <v>0</v>
      </c>
      <c r="K28" s="230">
        <f t="shared" si="1"/>
        <v>0</v>
      </c>
      <c r="L28" s="357"/>
      <c r="M28" s="230">
        <f t="shared" si="1"/>
        <v>0</v>
      </c>
      <c r="N28" s="357">
        <v>0</v>
      </c>
      <c r="O28" s="230">
        <f t="shared" si="2"/>
        <v>0</v>
      </c>
      <c r="P28" s="357"/>
      <c r="Q28" s="230">
        <f t="shared" si="3"/>
        <v>0</v>
      </c>
    </row>
    <row r="29" spans="1:17" ht="15.6" x14ac:dyDescent="0.3">
      <c r="A29" s="377">
        <v>1000115322</v>
      </c>
      <c r="B29" s="388" t="s">
        <v>443</v>
      </c>
      <c r="C29" s="389"/>
      <c r="D29" s="390" t="s">
        <v>234</v>
      </c>
      <c r="E29" s="391">
        <v>11.902200000000001</v>
      </c>
      <c r="H29" s="392"/>
      <c r="I29" s="544">
        <f t="shared" si="0"/>
        <v>0</v>
      </c>
      <c r="J29" s="392"/>
      <c r="K29" s="544">
        <f t="shared" si="1"/>
        <v>0</v>
      </c>
      <c r="L29" s="392"/>
      <c r="M29" s="544">
        <f t="shared" si="1"/>
        <v>0</v>
      </c>
      <c r="N29" s="392"/>
      <c r="O29" s="544">
        <f t="shared" si="2"/>
        <v>0</v>
      </c>
      <c r="P29" s="392"/>
      <c r="Q29" s="544">
        <f t="shared" si="3"/>
        <v>0</v>
      </c>
    </row>
    <row r="30" spans="1:17" ht="15.6" x14ac:dyDescent="0.3">
      <c r="A30" s="255">
        <v>1000166671</v>
      </c>
      <c r="B30" s="354" t="s">
        <v>440</v>
      </c>
      <c r="C30" s="291"/>
      <c r="D30" s="355" t="s">
        <v>234</v>
      </c>
      <c r="E30" s="356">
        <v>11.75</v>
      </c>
      <c r="H30" s="357"/>
      <c r="I30" s="230">
        <f t="shared" si="0"/>
        <v>0</v>
      </c>
      <c r="J30" s="357"/>
      <c r="K30" s="230">
        <f t="shared" si="1"/>
        <v>0</v>
      </c>
      <c r="L30" s="357"/>
      <c r="M30" s="230">
        <f t="shared" si="1"/>
        <v>0</v>
      </c>
      <c r="N30" s="357"/>
      <c r="O30" s="230">
        <f t="shared" si="2"/>
        <v>0</v>
      </c>
      <c r="P30" s="357"/>
      <c r="Q30" s="230">
        <f t="shared" si="3"/>
        <v>0</v>
      </c>
    </row>
    <row r="31" spans="1:17" ht="15.6" x14ac:dyDescent="0.3">
      <c r="A31" s="255"/>
      <c r="B31" s="354" t="s">
        <v>555</v>
      </c>
      <c r="C31" s="291"/>
      <c r="D31" s="355" t="s">
        <v>234</v>
      </c>
      <c r="E31" s="356">
        <v>7.7</v>
      </c>
      <c r="H31" s="357"/>
      <c r="I31" s="230">
        <f t="shared" si="0"/>
        <v>0</v>
      </c>
      <c r="J31" s="357">
        <v>0</v>
      </c>
      <c r="K31" s="230">
        <f t="shared" si="1"/>
        <v>0</v>
      </c>
      <c r="L31" s="357"/>
      <c r="M31" s="230">
        <f t="shared" si="1"/>
        <v>0</v>
      </c>
      <c r="N31" s="357">
        <v>0</v>
      </c>
      <c r="O31" s="230">
        <f t="shared" si="2"/>
        <v>0</v>
      </c>
      <c r="P31" s="357"/>
      <c r="Q31" s="230">
        <f t="shared" si="3"/>
        <v>0</v>
      </c>
    </row>
    <row r="32" spans="1:17" ht="15.6" x14ac:dyDescent="0.3">
      <c r="A32" s="377" t="s">
        <v>509</v>
      </c>
      <c r="B32" s="388" t="s">
        <v>538</v>
      </c>
      <c r="C32" s="389"/>
      <c r="D32" s="390" t="s">
        <v>235</v>
      </c>
      <c r="E32" s="391">
        <v>109.95</v>
      </c>
      <c r="H32" s="392"/>
      <c r="I32" s="544">
        <f t="shared" si="0"/>
        <v>0</v>
      </c>
      <c r="J32" s="392"/>
      <c r="K32" s="544">
        <f t="shared" si="1"/>
        <v>0</v>
      </c>
      <c r="L32" s="392"/>
      <c r="M32" s="544">
        <f t="shared" si="1"/>
        <v>0</v>
      </c>
      <c r="N32" s="392"/>
      <c r="O32" s="544">
        <f t="shared" si="2"/>
        <v>0</v>
      </c>
      <c r="P32" s="392"/>
      <c r="Q32" s="544">
        <f t="shared" si="3"/>
        <v>0</v>
      </c>
    </row>
    <row r="33" spans="1:17" ht="15.6" x14ac:dyDescent="0.3">
      <c r="A33" s="648">
        <v>28471</v>
      </c>
      <c r="B33" s="354" t="s">
        <v>554</v>
      </c>
      <c r="C33" s="291"/>
      <c r="D33" s="355" t="s">
        <v>235</v>
      </c>
      <c r="E33" s="356">
        <v>14.6</v>
      </c>
      <c r="H33" s="357"/>
      <c r="I33" s="230">
        <f t="shared" si="0"/>
        <v>0</v>
      </c>
      <c r="J33" s="357">
        <v>0</v>
      </c>
      <c r="K33" s="230">
        <f t="shared" si="1"/>
        <v>0</v>
      </c>
      <c r="L33" s="357"/>
      <c r="M33" s="230">
        <f t="shared" si="1"/>
        <v>0</v>
      </c>
      <c r="N33" s="357"/>
      <c r="O33" s="230">
        <f t="shared" si="2"/>
        <v>0</v>
      </c>
      <c r="P33" s="357">
        <v>0</v>
      </c>
      <c r="Q33" s="230">
        <f t="shared" si="3"/>
        <v>0</v>
      </c>
    </row>
    <row r="34" spans="1:17" ht="15.6" x14ac:dyDescent="0.3">
      <c r="A34" s="733"/>
      <c r="B34" s="388" t="s">
        <v>623</v>
      </c>
      <c r="C34" s="389"/>
      <c r="D34" s="390" t="s">
        <v>235</v>
      </c>
      <c r="E34" s="391">
        <v>26.78</v>
      </c>
      <c r="H34" s="392"/>
      <c r="I34" s="544">
        <f t="shared" si="0"/>
        <v>0</v>
      </c>
      <c r="J34" s="392">
        <v>0</v>
      </c>
      <c r="K34" s="544">
        <f t="shared" si="1"/>
        <v>0</v>
      </c>
      <c r="L34" s="392"/>
      <c r="M34" s="544">
        <f t="shared" si="1"/>
        <v>0</v>
      </c>
      <c r="N34" s="392">
        <v>0</v>
      </c>
      <c r="O34" s="544">
        <f t="shared" si="2"/>
        <v>0</v>
      </c>
      <c r="P34" s="392"/>
      <c r="Q34" s="544">
        <f t="shared" si="3"/>
        <v>0</v>
      </c>
    </row>
    <row r="35" spans="1:17" ht="15.6" x14ac:dyDescent="0.3">
      <c r="A35" s="733"/>
      <c r="B35" s="388" t="s">
        <v>622</v>
      </c>
      <c r="C35" s="389"/>
      <c r="D35" s="390" t="s">
        <v>235</v>
      </c>
      <c r="E35" s="391">
        <v>14.97</v>
      </c>
      <c r="H35" s="392"/>
      <c r="I35" s="544">
        <f t="shared" si="0"/>
        <v>0</v>
      </c>
      <c r="J35" s="392">
        <v>0</v>
      </c>
      <c r="K35" s="544">
        <f t="shared" si="1"/>
        <v>0</v>
      </c>
      <c r="L35" s="392"/>
      <c r="M35" s="544">
        <f t="shared" si="1"/>
        <v>0</v>
      </c>
      <c r="N35" s="392">
        <v>0</v>
      </c>
      <c r="O35" s="544">
        <f t="shared" si="2"/>
        <v>0</v>
      </c>
      <c r="P35" s="392"/>
      <c r="Q35" s="544">
        <f t="shared" si="3"/>
        <v>0</v>
      </c>
    </row>
    <row r="36" spans="1:17" ht="15.6" x14ac:dyDescent="0.3">
      <c r="A36" s="733"/>
      <c r="B36" s="388" t="s">
        <v>567</v>
      </c>
      <c r="C36" s="389"/>
      <c r="D36" s="390" t="s">
        <v>235</v>
      </c>
      <c r="E36" s="391">
        <v>9.9</v>
      </c>
      <c r="H36" s="392"/>
      <c r="I36" s="544">
        <f t="shared" si="0"/>
        <v>0</v>
      </c>
      <c r="J36" s="392">
        <v>0</v>
      </c>
      <c r="K36" s="544">
        <f t="shared" si="1"/>
        <v>0</v>
      </c>
      <c r="L36" s="392"/>
      <c r="M36" s="544">
        <f t="shared" si="1"/>
        <v>0</v>
      </c>
      <c r="N36" s="392"/>
      <c r="O36" s="544">
        <f t="shared" si="2"/>
        <v>0</v>
      </c>
      <c r="P36" s="392"/>
      <c r="Q36" s="544">
        <f t="shared" si="3"/>
        <v>0</v>
      </c>
    </row>
    <row r="37" spans="1:17" ht="15.6" x14ac:dyDescent="0.3">
      <c r="A37" s="255">
        <v>1000011642</v>
      </c>
      <c r="B37" s="388" t="s">
        <v>482</v>
      </c>
      <c r="C37" s="389"/>
      <c r="D37" s="390" t="s">
        <v>235</v>
      </c>
      <c r="E37" s="391">
        <v>10.8</v>
      </c>
      <c r="H37" s="392"/>
      <c r="I37" s="544">
        <f t="shared" si="0"/>
        <v>0</v>
      </c>
      <c r="J37" s="392"/>
      <c r="K37" s="544">
        <f t="shared" si="1"/>
        <v>0</v>
      </c>
      <c r="L37" s="392"/>
      <c r="M37" s="544">
        <f t="shared" si="1"/>
        <v>0</v>
      </c>
      <c r="N37" s="392"/>
      <c r="O37" s="544">
        <f t="shared" si="2"/>
        <v>0</v>
      </c>
      <c r="P37" s="392"/>
      <c r="Q37" s="544">
        <f t="shared" si="3"/>
        <v>0</v>
      </c>
    </row>
    <row r="38" spans="1:17" ht="15.6" x14ac:dyDescent="0.3">
      <c r="A38" s="255">
        <v>1000132592</v>
      </c>
      <c r="B38" s="542" t="s">
        <v>483</v>
      </c>
      <c r="C38" s="542"/>
      <c r="D38" s="390" t="s">
        <v>235</v>
      </c>
      <c r="E38" s="391">
        <v>3.52</v>
      </c>
      <c r="H38" s="392"/>
      <c r="I38" s="544">
        <f t="shared" si="0"/>
        <v>0</v>
      </c>
      <c r="J38" s="392"/>
      <c r="K38" s="544">
        <f t="shared" si="1"/>
        <v>0</v>
      </c>
      <c r="L38" s="392"/>
      <c r="M38" s="544">
        <f t="shared" si="1"/>
        <v>0</v>
      </c>
      <c r="N38" s="392"/>
      <c r="O38" s="544">
        <f t="shared" si="2"/>
        <v>0</v>
      </c>
      <c r="P38" s="392"/>
      <c r="Q38" s="544">
        <f t="shared" si="3"/>
        <v>0</v>
      </c>
    </row>
    <row r="39" spans="1:17" ht="15.6" x14ac:dyDescent="0.3">
      <c r="A39" s="255" t="s">
        <v>556</v>
      </c>
      <c r="B39" s="388" t="s">
        <v>484</v>
      </c>
      <c r="C39" s="389"/>
      <c r="D39" s="390" t="s">
        <v>235</v>
      </c>
      <c r="E39" s="391">
        <v>14.97</v>
      </c>
      <c r="H39" s="392"/>
      <c r="I39" s="544">
        <f t="shared" si="0"/>
        <v>0</v>
      </c>
      <c r="J39" s="392">
        <v>0</v>
      </c>
      <c r="K39" s="544">
        <f t="shared" si="1"/>
        <v>0</v>
      </c>
      <c r="L39" s="392"/>
      <c r="M39" s="544">
        <f t="shared" si="1"/>
        <v>0</v>
      </c>
      <c r="N39" s="392"/>
      <c r="O39" s="544">
        <f t="shared" si="2"/>
        <v>0</v>
      </c>
      <c r="P39" s="392"/>
      <c r="Q39" s="544">
        <f t="shared" si="3"/>
        <v>0</v>
      </c>
    </row>
    <row r="40" spans="1:17" ht="15.6" x14ac:dyDescent="0.3">
      <c r="A40" s="255">
        <v>1000105195</v>
      </c>
      <c r="B40" s="388" t="s">
        <v>485</v>
      </c>
      <c r="C40" s="389"/>
      <c r="D40" s="390" t="s">
        <v>235</v>
      </c>
      <c r="E40" s="391">
        <v>2.4900000000000002</v>
      </c>
      <c r="H40" s="392"/>
      <c r="I40" s="544">
        <f t="shared" si="0"/>
        <v>0</v>
      </c>
      <c r="J40" s="392">
        <v>0</v>
      </c>
      <c r="K40" s="544">
        <f t="shared" si="1"/>
        <v>0</v>
      </c>
      <c r="L40" s="392"/>
      <c r="M40" s="544">
        <f t="shared" si="1"/>
        <v>0</v>
      </c>
      <c r="N40" s="392"/>
      <c r="O40" s="544">
        <f t="shared" si="2"/>
        <v>0</v>
      </c>
      <c r="P40" s="392"/>
      <c r="Q40" s="544">
        <f t="shared" si="3"/>
        <v>0</v>
      </c>
    </row>
    <row r="41" spans="1:17" ht="15.6" x14ac:dyDescent="0.3">
      <c r="A41" s="255"/>
      <c r="B41" s="354" t="s">
        <v>636</v>
      </c>
      <c r="C41" s="291"/>
      <c r="D41" s="355" t="s">
        <v>235</v>
      </c>
      <c r="E41" s="356">
        <v>6.64</v>
      </c>
      <c r="H41" s="357"/>
      <c r="I41" s="230">
        <f t="shared" si="0"/>
        <v>0</v>
      </c>
      <c r="J41" s="357">
        <v>0</v>
      </c>
      <c r="K41" s="230">
        <f t="shared" si="1"/>
        <v>0</v>
      </c>
      <c r="L41" s="357"/>
      <c r="M41" s="230">
        <f t="shared" si="1"/>
        <v>0</v>
      </c>
      <c r="N41" s="357"/>
      <c r="O41" s="230">
        <f t="shared" si="2"/>
        <v>0</v>
      </c>
      <c r="P41" s="357"/>
      <c r="Q41" s="230">
        <f t="shared" si="3"/>
        <v>0</v>
      </c>
    </row>
    <row r="42" spans="1:17" ht="15.6" x14ac:dyDescent="0.3">
      <c r="A42" s="377"/>
      <c r="B42" s="388" t="s">
        <v>572</v>
      </c>
      <c r="C42" s="389"/>
      <c r="D42" s="390" t="s">
        <v>235</v>
      </c>
      <c r="E42" s="391">
        <v>6.82</v>
      </c>
      <c r="H42" s="392"/>
      <c r="I42" s="544">
        <f t="shared" si="0"/>
        <v>0</v>
      </c>
      <c r="J42" s="392">
        <v>0</v>
      </c>
      <c r="K42" s="544">
        <f t="shared" si="1"/>
        <v>0</v>
      </c>
      <c r="L42" s="392"/>
      <c r="M42" s="544">
        <f t="shared" si="1"/>
        <v>0</v>
      </c>
      <c r="N42" s="392"/>
      <c r="O42" s="544">
        <f t="shared" si="2"/>
        <v>0</v>
      </c>
      <c r="P42" s="392"/>
      <c r="Q42" s="544">
        <f t="shared" si="3"/>
        <v>0</v>
      </c>
    </row>
    <row r="43" spans="1:17" ht="15.6" x14ac:dyDescent="0.3">
      <c r="A43" s="377"/>
      <c r="B43" s="388" t="s">
        <v>585</v>
      </c>
      <c r="C43" s="389"/>
      <c r="D43" s="390" t="s">
        <v>235</v>
      </c>
      <c r="E43" s="391">
        <v>1368</v>
      </c>
      <c r="H43" s="392"/>
      <c r="I43" s="544">
        <f t="shared" si="0"/>
        <v>0</v>
      </c>
      <c r="J43" s="392"/>
      <c r="K43" s="544">
        <f t="shared" si="1"/>
        <v>0</v>
      </c>
      <c r="L43" s="392"/>
      <c r="M43" s="544">
        <f t="shared" si="1"/>
        <v>0</v>
      </c>
      <c r="N43" s="392">
        <v>0</v>
      </c>
      <c r="O43" s="544">
        <f t="shared" si="2"/>
        <v>0</v>
      </c>
      <c r="P43" s="392"/>
      <c r="Q43" s="544">
        <f t="shared" si="3"/>
        <v>0</v>
      </c>
    </row>
    <row r="44" spans="1:17" ht="15.6" x14ac:dyDescent="0.3">
      <c r="A44" s="255" t="s">
        <v>556</v>
      </c>
      <c r="B44" s="354" t="s">
        <v>606</v>
      </c>
      <c r="C44" s="291"/>
      <c r="D44" s="355" t="s">
        <v>235</v>
      </c>
      <c r="E44" s="356">
        <v>14.35</v>
      </c>
      <c r="H44" s="357"/>
      <c r="I44" s="230">
        <f t="shared" si="0"/>
        <v>0</v>
      </c>
      <c r="J44" s="357">
        <v>0</v>
      </c>
      <c r="K44" s="230">
        <f t="shared" si="1"/>
        <v>0</v>
      </c>
      <c r="L44" s="357"/>
      <c r="M44" s="230">
        <f t="shared" si="1"/>
        <v>0</v>
      </c>
      <c r="N44" s="357"/>
      <c r="O44" s="230">
        <f t="shared" si="2"/>
        <v>0</v>
      </c>
      <c r="P44" s="357"/>
      <c r="Q44" s="230">
        <f t="shared" si="3"/>
        <v>0</v>
      </c>
    </row>
    <row r="45" spans="1:17" ht="15.6" x14ac:dyDescent="0.3">
      <c r="A45" s="377">
        <v>1000143522</v>
      </c>
      <c r="B45" s="388" t="s">
        <v>486</v>
      </c>
      <c r="C45" s="389"/>
      <c r="D45" s="390" t="s">
        <v>235</v>
      </c>
      <c r="E45" s="391">
        <v>73.11</v>
      </c>
      <c r="H45" s="392"/>
      <c r="I45" s="544">
        <f t="shared" si="0"/>
        <v>0</v>
      </c>
      <c r="J45" s="392"/>
      <c r="K45" s="544">
        <f t="shared" si="1"/>
        <v>0</v>
      </c>
      <c r="L45" s="392"/>
      <c r="M45" s="544">
        <f t="shared" si="1"/>
        <v>0</v>
      </c>
      <c r="N45" s="392"/>
      <c r="O45" s="544">
        <f t="shared" si="2"/>
        <v>0</v>
      </c>
      <c r="P45" s="392"/>
      <c r="Q45" s="544">
        <f t="shared" si="3"/>
        <v>0</v>
      </c>
    </row>
    <row r="46" spans="1:17" ht="15.6" x14ac:dyDescent="0.3">
      <c r="A46" s="255">
        <v>1000168689</v>
      </c>
      <c r="B46" s="354" t="s">
        <v>453</v>
      </c>
      <c r="C46" s="291"/>
      <c r="D46" s="355" t="s">
        <v>235</v>
      </c>
      <c r="E46" s="356">
        <v>10.84</v>
      </c>
      <c r="H46" s="357"/>
      <c r="I46" s="230">
        <f t="shared" si="0"/>
        <v>0</v>
      </c>
      <c r="J46" s="357"/>
      <c r="K46" s="230">
        <f t="shared" si="1"/>
        <v>0</v>
      </c>
      <c r="L46" s="357"/>
      <c r="M46" s="230">
        <f t="shared" si="1"/>
        <v>0</v>
      </c>
      <c r="N46" s="357"/>
      <c r="O46" s="230">
        <f t="shared" si="2"/>
        <v>0</v>
      </c>
      <c r="P46" s="357"/>
      <c r="Q46" s="230">
        <f t="shared" si="3"/>
        <v>0</v>
      </c>
    </row>
    <row r="47" spans="1:17" ht="15.6" x14ac:dyDescent="0.3">
      <c r="A47" s="255">
        <v>1000080139</v>
      </c>
      <c r="B47" s="388" t="s">
        <v>539</v>
      </c>
      <c r="C47" s="389"/>
      <c r="D47" s="390" t="s">
        <v>235</v>
      </c>
      <c r="E47" s="391">
        <v>63.94</v>
      </c>
      <c r="H47" s="392"/>
      <c r="I47" s="230">
        <f t="shared" si="0"/>
        <v>0</v>
      </c>
      <c r="J47" s="392"/>
      <c r="K47" s="230">
        <f t="shared" si="1"/>
        <v>0</v>
      </c>
      <c r="L47" s="392"/>
      <c r="M47" s="230">
        <f t="shared" si="1"/>
        <v>0</v>
      </c>
      <c r="N47" s="392"/>
      <c r="O47" s="230">
        <f t="shared" si="2"/>
        <v>0</v>
      </c>
      <c r="P47" s="392"/>
      <c r="Q47" s="230">
        <f t="shared" si="3"/>
        <v>0</v>
      </c>
    </row>
    <row r="48" spans="1:17" ht="15.6" x14ac:dyDescent="0.3">
      <c r="A48" s="377">
        <v>1000175734</v>
      </c>
      <c r="B48" s="388" t="s">
        <v>472</v>
      </c>
      <c r="C48" s="389"/>
      <c r="D48" s="390" t="s">
        <v>235</v>
      </c>
      <c r="E48" s="391">
        <v>16.579999999999998</v>
      </c>
      <c r="H48" s="392"/>
      <c r="I48" s="230">
        <f t="shared" si="0"/>
        <v>0</v>
      </c>
      <c r="J48" s="392"/>
      <c r="K48" s="230">
        <f t="shared" si="1"/>
        <v>0</v>
      </c>
      <c r="L48" s="392">
        <v>0</v>
      </c>
      <c r="M48" s="230">
        <f t="shared" si="1"/>
        <v>0</v>
      </c>
      <c r="N48" s="392"/>
      <c r="O48" s="230">
        <f t="shared" si="2"/>
        <v>0</v>
      </c>
      <c r="P48" s="392"/>
      <c r="Q48" s="230">
        <f t="shared" si="3"/>
        <v>0</v>
      </c>
    </row>
    <row r="49" spans="1:17" ht="15.6" x14ac:dyDescent="0.3">
      <c r="A49" s="377" t="s">
        <v>556</v>
      </c>
      <c r="B49" s="388" t="s">
        <v>604</v>
      </c>
      <c r="C49" s="389"/>
      <c r="D49" s="390" t="s">
        <v>235</v>
      </c>
      <c r="E49" s="391">
        <v>42</v>
      </c>
      <c r="H49" s="392"/>
      <c r="I49" s="544">
        <f t="shared" si="0"/>
        <v>0</v>
      </c>
      <c r="J49" s="392">
        <v>0</v>
      </c>
      <c r="K49" s="544">
        <f t="shared" si="1"/>
        <v>0</v>
      </c>
      <c r="L49" s="392"/>
      <c r="M49" s="230">
        <f t="shared" si="1"/>
        <v>0</v>
      </c>
      <c r="N49" s="392"/>
      <c r="O49" s="544">
        <f t="shared" si="2"/>
        <v>0</v>
      </c>
      <c r="P49" s="392"/>
      <c r="Q49" s="544">
        <f t="shared" si="3"/>
        <v>0</v>
      </c>
    </row>
    <row r="50" spans="1:17" ht="15.6" x14ac:dyDescent="0.3">
      <c r="A50" s="377">
        <v>1000104079</v>
      </c>
      <c r="B50" s="388" t="s">
        <v>473</v>
      </c>
      <c r="C50" s="389"/>
      <c r="D50" s="390" t="s">
        <v>235</v>
      </c>
      <c r="E50" s="391">
        <v>39.32</v>
      </c>
      <c r="H50" s="392"/>
      <c r="I50" s="230">
        <f t="shared" si="0"/>
        <v>0</v>
      </c>
      <c r="J50" s="392"/>
      <c r="K50" s="230">
        <f t="shared" si="1"/>
        <v>0</v>
      </c>
      <c r="L50" s="392">
        <v>0</v>
      </c>
      <c r="M50" s="230">
        <f t="shared" si="1"/>
        <v>0</v>
      </c>
      <c r="N50" s="392"/>
      <c r="O50" s="230">
        <f t="shared" si="2"/>
        <v>0</v>
      </c>
      <c r="P50" s="392"/>
      <c r="Q50" s="230">
        <f t="shared" si="3"/>
        <v>0</v>
      </c>
    </row>
    <row r="51" spans="1:17" ht="15.6" x14ac:dyDescent="0.3">
      <c r="A51" s="377">
        <v>1000181297</v>
      </c>
      <c r="B51" s="388" t="s">
        <v>474</v>
      </c>
      <c r="C51" s="389"/>
      <c r="D51" s="390" t="s">
        <v>235</v>
      </c>
      <c r="E51" s="391">
        <v>37.6</v>
      </c>
      <c r="H51" s="392"/>
      <c r="I51" s="230">
        <f t="shared" si="0"/>
        <v>0</v>
      </c>
      <c r="J51" s="392"/>
      <c r="K51" s="230">
        <f t="shared" si="1"/>
        <v>0</v>
      </c>
      <c r="L51" s="392"/>
      <c r="M51" s="230">
        <f t="shared" si="1"/>
        <v>0</v>
      </c>
      <c r="N51" s="392"/>
      <c r="O51" s="230">
        <f t="shared" si="2"/>
        <v>0</v>
      </c>
      <c r="P51" s="392"/>
      <c r="Q51" s="230">
        <f t="shared" si="3"/>
        <v>0</v>
      </c>
    </row>
    <row r="52" spans="1:17" ht="15.6" x14ac:dyDescent="0.3">
      <c r="A52" s="377" t="s">
        <v>556</v>
      </c>
      <c r="B52" s="388" t="s">
        <v>564</v>
      </c>
      <c r="C52" s="389"/>
      <c r="D52" s="390" t="s">
        <v>235</v>
      </c>
      <c r="E52" s="391">
        <v>19.12</v>
      </c>
      <c r="H52" s="392"/>
      <c r="I52" s="230">
        <f t="shared" si="0"/>
        <v>0</v>
      </c>
      <c r="J52" s="392"/>
      <c r="K52" s="230">
        <f t="shared" si="1"/>
        <v>0</v>
      </c>
      <c r="L52" s="392"/>
      <c r="M52" s="230">
        <f t="shared" si="1"/>
        <v>0</v>
      </c>
      <c r="N52" s="392"/>
      <c r="O52" s="230">
        <f t="shared" si="2"/>
        <v>0</v>
      </c>
      <c r="P52" s="392"/>
      <c r="Q52" s="230">
        <f t="shared" si="3"/>
        <v>0</v>
      </c>
    </row>
    <row r="53" spans="1:17" ht="15.6" x14ac:dyDescent="0.3">
      <c r="A53" s="377"/>
      <c r="B53" s="388" t="s">
        <v>565</v>
      </c>
      <c r="C53" s="389"/>
      <c r="D53" s="390" t="s">
        <v>235</v>
      </c>
      <c r="E53" s="391">
        <v>14.57</v>
      </c>
      <c r="H53" s="392"/>
      <c r="I53" s="544">
        <f t="shared" si="0"/>
        <v>0</v>
      </c>
      <c r="J53" s="392">
        <v>0</v>
      </c>
      <c r="K53" s="230">
        <f t="shared" si="1"/>
        <v>0</v>
      </c>
      <c r="L53" s="392"/>
      <c r="M53" s="544">
        <f t="shared" si="1"/>
        <v>0</v>
      </c>
      <c r="N53" s="392"/>
      <c r="O53" s="544">
        <f t="shared" si="2"/>
        <v>0</v>
      </c>
      <c r="P53" s="392"/>
      <c r="Q53" s="230">
        <f t="shared" si="3"/>
        <v>0</v>
      </c>
    </row>
    <row r="54" spans="1:17" ht="15.6" x14ac:dyDescent="0.3">
      <c r="A54" s="377"/>
      <c r="B54" s="388" t="s">
        <v>565</v>
      </c>
      <c r="C54" s="389"/>
      <c r="D54" s="390" t="s">
        <v>235</v>
      </c>
      <c r="E54" s="391">
        <v>14.98</v>
      </c>
      <c r="H54" s="392"/>
      <c r="I54" s="544">
        <f t="shared" si="0"/>
        <v>0</v>
      </c>
      <c r="J54" s="392">
        <v>0</v>
      </c>
      <c r="K54" s="230">
        <f t="shared" si="1"/>
        <v>0</v>
      </c>
      <c r="L54" s="392"/>
      <c r="M54" s="544">
        <f t="shared" si="1"/>
        <v>0</v>
      </c>
      <c r="N54" s="392"/>
      <c r="O54" s="544">
        <f t="shared" si="2"/>
        <v>0</v>
      </c>
      <c r="P54" s="392"/>
      <c r="Q54" s="544">
        <f t="shared" si="3"/>
        <v>0</v>
      </c>
    </row>
    <row r="55" spans="1:17" ht="15.6" x14ac:dyDescent="0.3">
      <c r="A55" s="377"/>
      <c r="B55" s="388" t="s">
        <v>566</v>
      </c>
      <c r="C55" s="389"/>
      <c r="D55" s="390" t="s">
        <v>235</v>
      </c>
      <c r="E55" s="391">
        <v>7.44</v>
      </c>
      <c r="H55" s="392"/>
      <c r="I55" s="544">
        <f t="shared" si="0"/>
        <v>0</v>
      </c>
      <c r="J55" s="392">
        <v>0</v>
      </c>
      <c r="K55" s="230">
        <f t="shared" si="1"/>
        <v>0</v>
      </c>
      <c r="L55" s="392"/>
      <c r="M55" s="544">
        <f t="shared" si="1"/>
        <v>0</v>
      </c>
      <c r="N55" s="392"/>
      <c r="O55" s="544">
        <f t="shared" si="2"/>
        <v>0</v>
      </c>
      <c r="P55" s="392"/>
      <c r="Q55" s="230">
        <f t="shared" si="3"/>
        <v>0</v>
      </c>
    </row>
    <row r="56" spans="1:17" ht="15.6" x14ac:dyDescent="0.3">
      <c r="A56" s="377"/>
      <c r="B56" s="388" t="s">
        <v>571</v>
      </c>
      <c r="C56" s="389"/>
      <c r="D56" s="390" t="s">
        <v>235</v>
      </c>
      <c r="E56" s="391">
        <v>41.62</v>
      </c>
      <c r="H56" s="392"/>
      <c r="I56" s="544">
        <f t="shared" si="0"/>
        <v>0</v>
      </c>
      <c r="J56" s="392">
        <v>0</v>
      </c>
      <c r="K56" s="544">
        <f t="shared" si="1"/>
        <v>0</v>
      </c>
      <c r="L56" s="392"/>
      <c r="M56" s="544">
        <f t="shared" si="1"/>
        <v>0</v>
      </c>
      <c r="N56" s="392"/>
      <c r="O56" s="544">
        <f t="shared" si="2"/>
        <v>0</v>
      </c>
      <c r="P56" s="392"/>
      <c r="Q56" s="544">
        <f t="shared" si="3"/>
        <v>0</v>
      </c>
    </row>
    <row r="57" spans="1:17" ht="15.6" x14ac:dyDescent="0.3">
      <c r="A57" s="377"/>
      <c r="B57" s="388" t="s">
        <v>603</v>
      </c>
      <c r="C57" s="389"/>
      <c r="D57" s="390" t="s">
        <v>234</v>
      </c>
      <c r="E57" s="391">
        <v>105.02</v>
      </c>
      <c r="H57" s="392"/>
      <c r="I57" s="544">
        <f t="shared" si="0"/>
        <v>0</v>
      </c>
      <c r="J57" s="392">
        <v>0</v>
      </c>
      <c r="K57" s="544">
        <f t="shared" si="1"/>
        <v>0</v>
      </c>
      <c r="L57" s="392"/>
      <c r="M57" s="544">
        <f t="shared" si="1"/>
        <v>0</v>
      </c>
      <c r="N57" s="392">
        <v>0</v>
      </c>
      <c r="O57" s="544">
        <f t="shared" si="2"/>
        <v>0</v>
      </c>
      <c r="P57" s="392"/>
      <c r="Q57" s="544">
        <f t="shared" si="3"/>
        <v>0</v>
      </c>
    </row>
    <row r="58" spans="1:17" ht="15.6" x14ac:dyDescent="0.3">
      <c r="A58" s="377" t="s">
        <v>556</v>
      </c>
      <c r="B58" s="388" t="s">
        <v>607</v>
      </c>
      <c r="C58" s="389"/>
      <c r="D58" s="390" t="s">
        <v>235</v>
      </c>
      <c r="E58" s="391">
        <v>76.7</v>
      </c>
      <c r="H58" s="392"/>
      <c r="I58" s="544">
        <f t="shared" si="0"/>
        <v>0</v>
      </c>
      <c r="J58" s="392">
        <v>0</v>
      </c>
      <c r="K58" s="544">
        <f t="shared" si="1"/>
        <v>0</v>
      </c>
      <c r="L58" s="392"/>
      <c r="M58" s="544">
        <f t="shared" si="1"/>
        <v>0</v>
      </c>
      <c r="N58" s="392"/>
      <c r="O58" s="544">
        <f t="shared" si="2"/>
        <v>0</v>
      </c>
      <c r="P58" s="392"/>
      <c r="Q58" s="544">
        <f t="shared" si="3"/>
        <v>0</v>
      </c>
    </row>
    <row r="59" spans="1:17" ht="15.6" x14ac:dyDescent="0.3">
      <c r="A59" s="377" t="s">
        <v>556</v>
      </c>
      <c r="B59" s="388" t="s">
        <v>608</v>
      </c>
      <c r="C59" s="389"/>
      <c r="D59" s="390" t="s">
        <v>235</v>
      </c>
      <c r="E59" s="391">
        <v>117.14</v>
      </c>
      <c r="H59" s="392"/>
      <c r="I59" s="544">
        <f t="shared" si="0"/>
        <v>0</v>
      </c>
      <c r="J59" s="392">
        <v>0</v>
      </c>
      <c r="K59" s="544">
        <f t="shared" si="1"/>
        <v>0</v>
      </c>
      <c r="L59" s="392"/>
      <c r="M59" s="544">
        <f t="shared" si="1"/>
        <v>0</v>
      </c>
      <c r="N59" s="392"/>
      <c r="O59" s="544">
        <f t="shared" si="2"/>
        <v>0</v>
      </c>
      <c r="P59" s="392"/>
      <c r="Q59" s="544">
        <f t="shared" si="3"/>
        <v>0</v>
      </c>
    </row>
    <row r="60" spans="1:17" ht="15.6" x14ac:dyDescent="0.3">
      <c r="A60" s="377" t="s">
        <v>556</v>
      </c>
      <c r="B60" s="388" t="s">
        <v>612</v>
      </c>
      <c r="C60" s="389"/>
      <c r="D60" s="390" t="s">
        <v>235</v>
      </c>
      <c r="E60" s="391">
        <v>1.84</v>
      </c>
      <c r="H60" s="392"/>
      <c r="I60" s="544">
        <f t="shared" si="0"/>
        <v>0</v>
      </c>
      <c r="J60" s="392">
        <v>0</v>
      </c>
      <c r="K60" s="544">
        <f t="shared" si="1"/>
        <v>0</v>
      </c>
      <c r="L60" s="392"/>
      <c r="M60" s="544">
        <f t="shared" si="1"/>
        <v>0</v>
      </c>
      <c r="N60" s="392"/>
      <c r="O60" s="544">
        <f t="shared" si="2"/>
        <v>0</v>
      </c>
      <c r="P60" s="392"/>
      <c r="Q60" s="544">
        <f t="shared" si="3"/>
        <v>0</v>
      </c>
    </row>
    <row r="61" spans="1:17" ht="15.6" x14ac:dyDescent="0.3">
      <c r="A61" s="377" t="s">
        <v>556</v>
      </c>
      <c r="B61" s="388" t="s">
        <v>613</v>
      </c>
      <c r="C61" s="389"/>
      <c r="D61" s="390" t="s">
        <v>235</v>
      </c>
      <c r="E61" s="391">
        <v>5.75</v>
      </c>
      <c r="H61" s="392"/>
      <c r="I61" s="544">
        <f t="shared" si="0"/>
        <v>0</v>
      </c>
      <c r="J61" s="392">
        <v>0</v>
      </c>
      <c r="K61" s="544">
        <f t="shared" si="1"/>
        <v>0</v>
      </c>
      <c r="L61" s="392"/>
      <c r="M61" s="544">
        <f t="shared" si="1"/>
        <v>0</v>
      </c>
      <c r="N61" s="392"/>
      <c r="O61" s="544">
        <f t="shared" si="2"/>
        <v>0</v>
      </c>
      <c r="P61" s="392"/>
      <c r="Q61" s="544">
        <f t="shared" si="3"/>
        <v>0</v>
      </c>
    </row>
    <row r="62" spans="1:17" ht="15.6" x14ac:dyDescent="0.3">
      <c r="A62" s="377" t="s">
        <v>556</v>
      </c>
      <c r="B62" s="388" t="s">
        <v>614</v>
      </c>
      <c r="C62" s="389"/>
      <c r="D62" s="390" t="s">
        <v>234</v>
      </c>
      <c r="E62" s="391">
        <v>17.23</v>
      </c>
      <c r="H62" s="392"/>
      <c r="I62" s="544">
        <f t="shared" si="0"/>
        <v>0</v>
      </c>
      <c r="J62" s="392">
        <v>0</v>
      </c>
      <c r="K62" s="544">
        <f t="shared" si="1"/>
        <v>0</v>
      </c>
      <c r="L62" s="392">
        <v>0</v>
      </c>
      <c r="M62" s="544">
        <f t="shared" si="1"/>
        <v>0</v>
      </c>
      <c r="N62" s="392"/>
      <c r="O62" s="544">
        <f t="shared" si="2"/>
        <v>0</v>
      </c>
      <c r="P62" s="392"/>
      <c r="Q62" s="544">
        <f t="shared" si="3"/>
        <v>0</v>
      </c>
    </row>
    <row r="63" spans="1:17" ht="15.6" x14ac:dyDescent="0.3">
      <c r="A63" s="377" t="s">
        <v>556</v>
      </c>
      <c r="B63" s="388" t="s">
        <v>615</v>
      </c>
      <c r="C63" s="389"/>
      <c r="D63" s="390" t="s">
        <v>234</v>
      </c>
      <c r="E63" s="391">
        <v>10.55</v>
      </c>
      <c r="H63" s="392"/>
      <c r="I63" s="544">
        <f t="shared" si="0"/>
        <v>0</v>
      </c>
      <c r="J63" s="392">
        <v>0</v>
      </c>
      <c r="K63" s="544">
        <f t="shared" si="1"/>
        <v>0</v>
      </c>
      <c r="L63" s="392"/>
      <c r="M63" s="544">
        <f t="shared" si="1"/>
        <v>0</v>
      </c>
      <c r="N63" s="392">
        <v>0</v>
      </c>
      <c r="O63" s="544">
        <f t="shared" si="2"/>
        <v>0</v>
      </c>
      <c r="P63" s="392"/>
      <c r="Q63" s="544">
        <f t="shared" si="3"/>
        <v>0</v>
      </c>
    </row>
    <row r="64" spans="1:17" ht="15.6" x14ac:dyDescent="0.3">
      <c r="A64" s="377"/>
      <c r="B64" s="388" t="s">
        <v>616</v>
      </c>
      <c r="C64" s="389"/>
      <c r="D64" s="390" t="s">
        <v>235</v>
      </c>
      <c r="E64" s="391">
        <v>20.3</v>
      </c>
      <c r="H64" s="392"/>
      <c r="I64" s="544">
        <f t="shared" si="0"/>
        <v>0</v>
      </c>
      <c r="J64" s="392">
        <v>0</v>
      </c>
      <c r="K64" s="544">
        <f t="shared" si="1"/>
        <v>0</v>
      </c>
      <c r="L64" s="392"/>
      <c r="M64" s="544">
        <f t="shared" si="1"/>
        <v>0</v>
      </c>
      <c r="N64" s="392">
        <v>0</v>
      </c>
      <c r="O64" s="544">
        <f t="shared" si="2"/>
        <v>0</v>
      </c>
      <c r="P64" s="392"/>
      <c r="Q64" s="544">
        <f t="shared" si="3"/>
        <v>0</v>
      </c>
    </row>
    <row r="65" spans="1:18" ht="15.6" x14ac:dyDescent="0.3">
      <c r="A65" s="377"/>
      <c r="B65" s="388" t="s">
        <v>617</v>
      </c>
      <c r="C65" s="389"/>
      <c r="D65" s="390" t="s">
        <v>235</v>
      </c>
      <c r="E65" s="391">
        <v>76.25</v>
      </c>
      <c r="H65" s="392"/>
      <c r="I65" s="544">
        <f t="shared" si="0"/>
        <v>0</v>
      </c>
      <c r="J65" s="392">
        <v>0</v>
      </c>
      <c r="K65" s="544">
        <f t="shared" si="1"/>
        <v>0</v>
      </c>
      <c r="L65" s="392">
        <v>0</v>
      </c>
      <c r="M65" s="544">
        <f t="shared" si="1"/>
        <v>0</v>
      </c>
      <c r="N65" s="392"/>
      <c r="O65" s="544">
        <f t="shared" si="2"/>
        <v>0</v>
      </c>
      <c r="P65" s="392"/>
      <c r="Q65" s="544">
        <f t="shared" si="3"/>
        <v>0</v>
      </c>
    </row>
    <row r="66" spans="1:18" ht="15.6" x14ac:dyDescent="0.3">
      <c r="A66" s="377"/>
      <c r="B66" s="388" t="s">
        <v>618</v>
      </c>
      <c r="C66" s="389"/>
      <c r="D66" s="390" t="s">
        <v>234</v>
      </c>
      <c r="E66" s="391">
        <v>42</v>
      </c>
      <c r="H66" s="392"/>
      <c r="I66" s="544">
        <f t="shared" si="0"/>
        <v>0</v>
      </c>
      <c r="J66" s="392">
        <v>0</v>
      </c>
      <c r="K66" s="544">
        <f t="shared" si="1"/>
        <v>0</v>
      </c>
      <c r="L66" s="392"/>
      <c r="M66" s="544">
        <f t="shared" si="1"/>
        <v>0</v>
      </c>
      <c r="N66" s="392"/>
      <c r="O66" s="544">
        <f t="shared" si="2"/>
        <v>0</v>
      </c>
      <c r="P66" s="392"/>
      <c r="Q66" s="544">
        <f t="shared" si="3"/>
        <v>0</v>
      </c>
    </row>
    <row r="67" spans="1:18" ht="15.6" x14ac:dyDescent="0.3">
      <c r="A67" s="377">
        <v>1000166452</v>
      </c>
      <c r="B67" s="388" t="s">
        <v>476</v>
      </c>
      <c r="C67" s="389"/>
      <c r="D67" s="390" t="s">
        <v>235</v>
      </c>
      <c r="E67" s="391">
        <v>135.29</v>
      </c>
      <c r="H67" s="392"/>
      <c r="I67" s="230">
        <f t="shared" si="0"/>
        <v>0</v>
      </c>
      <c r="J67" s="392"/>
      <c r="K67" s="230">
        <f t="shared" si="1"/>
        <v>0</v>
      </c>
      <c r="L67" s="392"/>
      <c r="M67" s="230">
        <f t="shared" si="1"/>
        <v>0</v>
      </c>
      <c r="N67" s="392"/>
      <c r="O67" s="230">
        <f t="shared" ref="O67:O72" si="4">N67*$E67</f>
        <v>0</v>
      </c>
      <c r="P67" s="392"/>
      <c r="Q67" s="230">
        <f t="shared" si="3"/>
        <v>0</v>
      </c>
    </row>
    <row r="68" spans="1:18" ht="15.6" x14ac:dyDescent="0.3">
      <c r="A68" s="377">
        <v>1000183905</v>
      </c>
      <c r="B68" s="388" t="s">
        <v>563</v>
      </c>
      <c r="C68" s="389"/>
      <c r="D68" s="390" t="s">
        <v>235</v>
      </c>
      <c r="E68" s="391">
        <v>2.36</v>
      </c>
      <c r="H68" s="392"/>
      <c r="I68" s="544">
        <f t="shared" si="0"/>
        <v>0</v>
      </c>
      <c r="J68" s="392"/>
      <c r="K68" s="544">
        <f t="shared" si="1"/>
        <v>0</v>
      </c>
      <c r="L68" s="392"/>
      <c r="M68" s="544">
        <f t="shared" si="1"/>
        <v>0</v>
      </c>
      <c r="N68" s="392"/>
      <c r="O68" s="544">
        <f t="shared" si="4"/>
        <v>0</v>
      </c>
      <c r="P68" s="392"/>
      <c r="Q68" s="544">
        <f t="shared" si="3"/>
        <v>0</v>
      </c>
    </row>
    <row r="69" spans="1:18" ht="15.6" x14ac:dyDescent="0.3">
      <c r="A69" s="377">
        <v>1000133912</v>
      </c>
      <c r="B69" s="388" t="s">
        <v>559</v>
      </c>
      <c r="C69" s="389"/>
      <c r="D69" s="390" t="s">
        <v>235</v>
      </c>
      <c r="E69" s="391">
        <v>268.35000000000002</v>
      </c>
      <c r="H69" s="392"/>
      <c r="I69" s="544">
        <f t="shared" si="0"/>
        <v>0</v>
      </c>
      <c r="J69" s="392"/>
      <c r="K69" s="544">
        <f t="shared" si="1"/>
        <v>0</v>
      </c>
      <c r="L69" s="392"/>
      <c r="M69" s="544">
        <f t="shared" si="1"/>
        <v>0</v>
      </c>
      <c r="N69" s="392"/>
      <c r="O69" s="544">
        <f t="shared" si="4"/>
        <v>0</v>
      </c>
      <c r="P69" s="392"/>
      <c r="Q69" s="544">
        <f t="shared" si="3"/>
        <v>0</v>
      </c>
    </row>
    <row r="70" spans="1:18" ht="15.6" x14ac:dyDescent="0.3">
      <c r="A70" s="377">
        <v>1000142972</v>
      </c>
      <c r="B70" s="388" t="s">
        <v>570</v>
      </c>
      <c r="C70" s="389"/>
      <c r="D70" s="390" t="s">
        <v>235</v>
      </c>
      <c r="E70" s="391">
        <v>108.5</v>
      </c>
      <c r="H70" s="392"/>
      <c r="I70" s="544">
        <f t="shared" si="0"/>
        <v>0</v>
      </c>
      <c r="J70" s="392"/>
      <c r="K70" s="544">
        <f t="shared" si="1"/>
        <v>0</v>
      </c>
      <c r="L70" s="392"/>
      <c r="M70" s="544">
        <f t="shared" si="1"/>
        <v>0</v>
      </c>
      <c r="N70" s="392"/>
      <c r="O70" s="544">
        <f t="shared" si="4"/>
        <v>0</v>
      </c>
      <c r="P70" s="392"/>
      <c r="Q70" s="544">
        <f t="shared" si="3"/>
        <v>0</v>
      </c>
    </row>
    <row r="71" spans="1:18" ht="15.6" x14ac:dyDescent="0.3">
      <c r="A71" s="377"/>
      <c r="B71" s="388" t="s">
        <v>605</v>
      </c>
      <c r="C71" s="389"/>
      <c r="D71" s="390" t="s">
        <v>235</v>
      </c>
      <c r="E71" s="391">
        <v>24.6</v>
      </c>
      <c r="H71" s="392"/>
      <c r="I71" s="544">
        <f t="shared" si="0"/>
        <v>0</v>
      </c>
      <c r="J71" s="392">
        <v>0</v>
      </c>
      <c r="K71" s="544">
        <f t="shared" si="1"/>
        <v>0</v>
      </c>
      <c r="L71" s="392"/>
      <c r="M71" s="544">
        <f t="shared" si="1"/>
        <v>0</v>
      </c>
      <c r="N71" s="392"/>
      <c r="O71" s="544">
        <f t="shared" si="4"/>
        <v>0</v>
      </c>
      <c r="P71" s="392">
        <v>0</v>
      </c>
      <c r="Q71" s="544">
        <f t="shared" si="3"/>
        <v>0</v>
      </c>
    </row>
    <row r="72" spans="1:18" ht="15.6" x14ac:dyDescent="0.3">
      <c r="A72" s="262">
        <v>1000124408</v>
      </c>
      <c r="B72" s="361" t="s">
        <v>475</v>
      </c>
      <c r="C72" s="292"/>
      <c r="D72" s="256" t="s">
        <v>470</v>
      </c>
      <c r="E72" s="257">
        <v>17.399999999999999</v>
      </c>
      <c r="H72" s="229"/>
      <c r="I72" s="230">
        <f t="shared" si="0"/>
        <v>0</v>
      </c>
      <c r="J72" s="229">
        <v>0</v>
      </c>
      <c r="K72" s="230">
        <f t="shared" si="1"/>
        <v>0</v>
      </c>
      <c r="L72" s="229"/>
      <c r="M72" s="230">
        <f t="shared" si="1"/>
        <v>0</v>
      </c>
      <c r="N72" s="229"/>
      <c r="O72" s="230">
        <f t="shared" si="4"/>
        <v>0</v>
      </c>
      <c r="P72" s="229"/>
      <c r="Q72" s="230">
        <f t="shared" si="3"/>
        <v>0</v>
      </c>
    </row>
    <row r="73" spans="1:18" s="233" customFormat="1" x14ac:dyDescent="0.3">
      <c r="A73" s="269"/>
      <c r="B73" s="261"/>
      <c r="C73" s="261"/>
      <c r="D73" s="269"/>
      <c r="E73" s="261"/>
      <c r="F73" s="258"/>
      <c r="H73" s="270" t="s">
        <v>236</v>
      </c>
      <c r="I73" s="259">
        <f>SUM(I3:I72)</f>
        <v>0</v>
      </c>
      <c r="J73" s="270" t="s">
        <v>236</v>
      </c>
      <c r="K73" s="259">
        <f>SUM(K3:K72)</f>
        <v>0</v>
      </c>
      <c r="L73" s="270" t="s">
        <v>236</v>
      </c>
      <c r="M73" s="259">
        <f>SUM(M3:M72)</f>
        <v>0</v>
      </c>
      <c r="N73" s="270" t="s">
        <v>236</v>
      </c>
      <c r="O73" s="259">
        <f>SUM(O3:O72)</f>
        <v>0</v>
      </c>
      <c r="P73" s="270" t="s">
        <v>236</v>
      </c>
      <c r="Q73" s="259">
        <f>SUM(Q3:Q72)</f>
        <v>0</v>
      </c>
    </row>
    <row r="74" spans="1:18" x14ac:dyDescent="0.3">
      <c r="A74" s="263"/>
      <c r="D74" s="263"/>
      <c r="R74" s="168">
        <f>SUM(I73+K73+M73+O73+Q73)</f>
        <v>0</v>
      </c>
    </row>
    <row r="75" spans="1:18" x14ac:dyDescent="0.3">
      <c r="A75" s="263"/>
      <c r="B75" s="263"/>
      <c r="C75" s="263"/>
      <c r="D75" s="263"/>
    </row>
    <row r="76" spans="1:18" x14ac:dyDescent="0.3">
      <c r="A76" s="263"/>
      <c r="B76" s="263"/>
      <c r="C76" s="263"/>
      <c r="D76" s="263"/>
    </row>
    <row r="77" spans="1:18" x14ac:dyDescent="0.3">
      <c r="A77" s="263"/>
      <c r="B77" s="263"/>
      <c r="C77" s="263"/>
      <c r="D77" s="263"/>
    </row>
    <row r="78" spans="1:18" x14ac:dyDescent="0.3">
      <c r="A78" s="263"/>
      <c r="B78" s="263"/>
      <c r="C78" s="263"/>
      <c r="D78" s="263"/>
    </row>
    <row r="79" spans="1:18" x14ac:dyDescent="0.3">
      <c r="A79" s="263"/>
      <c r="B79" s="263"/>
      <c r="C79" s="263"/>
      <c r="D79" s="263"/>
    </row>
    <row r="80" spans="1:18" x14ac:dyDescent="0.3">
      <c r="A80" s="263"/>
      <c r="B80" s="263"/>
      <c r="C80" s="263"/>
      <c r="D80" s="263"/>
      <c r="E80"/>
      <c r="F80"/>
    </row>
    <row r="81" spans="1:6" x14ac:dyDescent="0.3">
      <c r="A81" s="263"/>
      <c r="B81" s="263"/>
      <c r="C81" s="263"/>
      <c r="D81" s="263"/>
      <c r="E81"/>
      <c r="F81"/>
    </row>
    <row r="82" spans="1:6" x14ac:dyDescent="0.3">
      <c r="A82" s="263"/>
      <c r="B82" s="263"/>
      <c r="C82" s="263"/>
      <c r="D82" s="263"/>
      <c r="E82"/>
      <c r="F82"/>
    </row>
    <row r="83" spans="1:6" x14ac:dyDescent="0.3">
      <c r="A83" s="263"/>
      <c r="B83" s="263"/>
      <c r="C83" s="263"/>
      <c r="D83" s="263"/>
      <c r="E83"/>
      <c r="F83"/>
    </row>
    <row r="84" spans="1:6" x14ac:dyDescent="0.3">
      <c r="A84" s="263"/>
      <c r="B84" s="263"/>
      <c r="C84" s="263"/>
      <c r="D84" s="263"/>
      <c r="E84"/>
      <c r="F84"/>
    </row>
    <row r="85" spans="1:6" x14ac:dyDescent="0.3">
      <c r="A85" s="263"/>
      <c r="B85" s="263"/>
      <c r="C85" s="263"/>
      <c r="D85" s="263"/>
      <c r="E85"/>
      <c r="F85"/>
    </row>
    <row r="86" spans="1:6" x14ac:dyDescent="0.3">
      <c r="A86" s="263"/>
      <c r="B86" s="263"/>
      <c r="C86" s="263"/>
      <c r="D86" s="263"/>
      <c r="E86"/>
      <c r="F86"/>
    </row>
    <row r="87" spans="1:6" x14ac:dyDescent="0.3">
      <c r="A87" s="263"/>
      <c r="B87" s="263"/>
      <c r="C87" s="263"/>
      <c r="D87" s="263"/>
      <c r="E87"/>
      <c r="F87"/>
    </row>
    <row r="88" spans="1:6" x14ac:dyDescent="0.3">
      <c r="A88" s="263"/>
      <c r="B88" s="263"/>
      <c r="C88" s="263"/>
      <c r="D88" s="263"/>
      <c r="E88"/>
      <c r="F88"/>
    </row>
    <row r="89" spans="1:6" x14ac:dyDescent="0.3">
      <c r="A89" s="263"/>
      <c r="B89" s="263"/>
      <c r="C89" s="263"/>
      <c r="D89" s="263"/>
      <c r="E89"/>
      <c r="F89"/>
    </row>
    <row r="90" spans="1:6" x14ac:dyDescent="0.3">
      <c r="A90" s="263"/>
      <c r="B90" s="263"/>
      <c r="C90" s="263"/>
      <c r="D90" s="263"/>
      <c r="E90"/>
      <c r="F90"/>
    </row>
    <row r="91" spans="1:6" x14ac:dyDescent="0.3">
      <c r="A91" s="263"/>
      <c r="B91" s="263"/>
      <c r="C91" s="263"/>
      <c r="D91" s="263"/>
      <c r="E91"/>
      <c r="F91"/>
    </row>
    <row r="92" spans="1:6" x14ac:dyDescent="0.3">
      <c r="A92" s="263"/>
      <c r="B92" s="263"/>
      <c r="C92" s="263"/>
      <c r="D92" s="263"/>
      <c r="E92"/>
      <c r="F92"/>
    </row>
    <row r="93" spans="1:6" x14ac:dyDescent="0.3">
      <c r="A93" s="263"/>
      <c r="B93" s="263"/>
      <c r="C93" s="263"/>
      <c r="D93" s="263"/>
      <c r="E93"/>
      <c r="F93"/>
    </row>
    <row r="94" spans="1:6" x14ac:dyDescent="0.3">
      <c r="A94" s="263"/>
      <c r="B94" s="263"/>
      <c r="C94" s="263"/>
      <c r="D94" s="263"/>
      <c r="E94"/>
      <c r="F94"/>
    </row>
    <row r="95" spans="1:6" x14ac:dyDescent="0.3">
      <c r="A95" s="263"/>
      <c r="B95" s="263"/>
      <c r="C95" s="263"/>
      <c r="D95" s="263"/>
      <c r="E95"/>
      <c r="F95"/>
    </row>
    <row r="96" spans="1:6" x14ac:dyDescent="0.3">
      <c r="A96" s="263"/>
      <c r="B96" s="263"/>
      <c r="C96" s="263"/>
      <c r="D96" s="263"/>
      <c r="E96"/>
      <c r="F96"/>
    </row>
    <row r="97" spans="1:6" x14ac:dyDescent="0.3">
      <c r="A97" s="263"/>
      <c r="B97" s="263"/>
      <c r="C97" s="263"/>
      <c r="D97" s="263"/>
      <c r="E97"/>
      <c r="F97"/>
    </row>
    <row r="98" spans="1:6" x14ac:dyDescent="0.3">
      <c r="A98" s="263"/>
      <c r="B98" s="263"/>
      <c r="C98" s="263"/>
      <c r="D98" s="263"/>
      <c r="E98"/>
      <c r="F98"/>
    </row>
    <row r="99" spans="1:6" x14ac:dyDescent="0.3">
      <c r="A99" s="263"/>
      <c r="B99" s="263"/>
      <c r="C99" s="263"/>
      <c r="D99" s="263"/>
      <c r="E99"/>
      <c r="F99"/>
    </row>
    <row r="100" spans="1:6" x14ac:dyDescent="0.3">
      <c r="A100" s="263"/>
      <c r="B100" s="263"/>
      <c r="C100" s="263"/>
      <c r="D100" s="263"/>
      <c r="E100"/>
      <c r="F100"/>
    </row>
    <row r="101" spans="1:6" x14ac:dyDescent="0.3">
      <c r="A101" s="263"/>
      <c r="B101" s="263"/>
      <c r="C101" s="263"/>
      <c r="D101" s="263"/>
      <c r="E101"/>
      <c r="F101"/>
    </row>
    <row r="102" spans="1:6" x14ac:dyDescent="0.3">
      <c r="A102" s="263"/>
      <c r="B102" s="263"/>
      <c r="C102" s="263"/>
      <c r="D102" s="263"/>
      <c r="E102"/>
      <c r="F102"/>
    </row>
    <row r="103" spans="1:6" x14ac:dyDescent="0.3">
      <c r="A103" s="263"/>
      <c r="B103" s="263"/>
      <c r="C103" s="263"/>
      <c r="D103" s="263"/>
      <c r="E103"/>
      <c r="F103"/>
    </row>
    <row r="104" spans="1:6" x14ac:dyDescent="0.3">
      <c r="A104" s="263"/>
      <c r="B104" s="263"/>
      <c r="C104" s="263"/>
      <c r="D104" s="263"/>
      <c r="E104"/>
      <c r="F104"/>
    </row>
    <row r="105" spans="1:6" x14ac:dyDescent="0.3">
      <c r="A105" s="263"/>
      <c r="B105" s="263"/>
      <c r="C105" s="263"/>
      <c r="D105" s="263"/>
      <c r="E105"/>
      <c r="F105"/>
    </row>
    <row r="106" spans="1:6" x14ac:dyDescent="0.3">
      <c r="A106" s="263"/>
      <c r="B106" s="263"/>
      <c r="C106" s="263"/>
      <c r="D106" s="263"/>
      <c r="E106"/>
      <c r="F106"/>
    </row>
    <row r="107" spans="1:6" x14ac:dyDescent="0.3">
      <c r="A107" s="263"/>
      <c r="B107" s="263"/>
      <c r="C107" s="263"/>
      <c r="D107" s="263"/>
      <c r="E107"/>
      <c r="F107"/>
    </row>
    <row r="108" spans="1:6" x14ac:dyDescent="0.3">
      <c r="A108" s="263"/>
      <c r="B108" s="263"/>
      <c r="C108" s="263"/>
      <c r="D108" s="263"/>
      <c r="E108"/>
      <c r="F108"/>
    </row>
    <row r="109" spans="1:6" x14ac:dyDescent="0.3">
      <c r="A109" s="263"/>
      <c r="B109" s="263"/>
      <c r="C109" s="263"/>
      <c r="D109" s="263"/>
      <c r="E109"/>
      <c r="F109"/>
    </row>
    <row r="110" spans="1:6" x14ac:dyDescent="0.3">
      <c r="A110" s="263"/>
      <c r="B110" s="263"/>
      <c r="C110" s="263"/>
      <c r="D110" s="263"/>
      <c r="E110"/>
      <c r="F110"/>
    </row>
    <row r="111" spans="1:6" x14ac:dyDescent="0.3">
      <c r="A111" s="263"/>
      <c r="B111" s="263"/>
      <c r="C111" s="263"/>
      <c r="D111" s="263"/>
      <c r="E111"/>
      <c r="F111"/>
    </row>
    <row r="112" spans="1:6" x14ac:dyDescent="0.3">
      <c r="A112" s="263"/>
      <c r="B112" s="263"/>
      <c r="C112" s="263"/>
      <c r="D112" s="263"/>
      <c r="E112"/>
      <c r="F112"/>
    </row>
    <row r="113" spans="1:6" x14ac:dyDescent="0.3">
      <c r="A113" s="263"/>
      <c r="B113" s="263"/>
      <c r="C113" s="263"/>
      <c r="D113" s="263"/>
      <c r="E113"/>
      <c r="F113"/>
    </row>
    <row r="114" spans="1:6" x14ac:dyDescent="0.3">
      <c r="A114" s="263"/>
      <c r="B114" s="263"/>
      <c r="C114" s="263"/>
      <c r="D114" s="263"/>
      <c r="E114"/>
      <c r="F114"/>
    </row>
    <row r="115" spans="1:6" x14ac:dyDescent="0.3">
      <c r="A115" s="263"/>
      <c r="B115" s="263"/>
      <c r="C115" s="263"/>
      <c r="D115" s="263"/>
      <c r="E115"/>
      <c r="F115"/>
    </row>
    <row r="116" spans="1:6" x14ac:dyDescent="0.3">
      <c r="A116" s="263"/>
      <c r="B116" s="263"/>
      <c r="C116" s="263"/>
      <c r="D116" s="263"/>
      <c r="E116"/>
      <c r="F116"/>
    </row>
    <row r="117" spans="1:6" x14ac:dyDescent="0.3">
      <c r="A117" s="263"/>
      <c r="B117" s="263"/>
      <c r="C117" s="263"/>
      <c r="D117" s="263"/>
      <c r="E117"/>
      <c r="F117"/>
    </row>
    <row r="118" spans="1:6" x14ac:dyDescent="0.3">
      <c r="A118" s="263"/>
      <c r="B118" s="263"/>
      <c r="C118" s="263"/>
      <c r="D118" s="263"/>
      <c r="E118"/>
      <c r="F118"/>
    </row>
    <row r="119" spans="1:6" x14ac:dyDescent="0.3">
      <c r="A119" s="263"/>
      <c r="B119" s="263"/>
      <c r="C119" s="263"/>
      <c r="D119" s="263"/>
      <c r="E119"/>
      <c r="F119"/>
    </row>
    <row r="120" spans="1:6" x14ac:dyDescent="0.3">
      <c r="A120" s="263"/>
      <c r="B120" s="263"/>
      <c r="C120" s="263"/>
      <c r="D120" s="263"/>
      <c r="E120"/>
      <c r="F120"/>
    </row>
    <row r="121" spans="1:6" x14ac:dyDescent="0.3">
      <c r="A121" s="263"/>
      <c r="B121" s="263"/>
      <c r="C121" s="263"/>
      <c r="D121" s="263"/>
      <c r="E121"/>
      <c r="F121"/>
    </row>
    <row r="122" spans="1:6" x14ac:dyDescent="0.3">
      <c r="A122" s="263"/>
      <c r="B122" s="263"/>
      <c r="C122" s="263"/>
      <c r="D122" s="263"/>
      <c r="E122"/>
      <c r="F122"/>
    </row>
    <row r="123" spans="1:6" x14ac:dyDescent="0.3">
      <c r="A123" s="263"/>
      <c r="B123" s="263"/>
      <c r="C123" s="263"/>
      <c r="D123" s="263"/>
      <c r="E123"/>
      <c r="F123"/>
    </row>
    <row r="124" spans="1:6" x14ac:dyDescent="0.3">
      <c r="A124" s="263"/>
      <c r="B124" s="263"/>
      <c r="C124" s="263"/>
      <c r="D124" s="263"/>
      <c r="E124"/>
      <c r="F124"/>
    </row>
    <row r="125" spans="1:6" x14ac:dyDescent="0.3">
      <c r="A125" s="263"/>
      <c r="B125" s="263"/>
      <c r="C125" s="263"/>
      <c r="D125" s="263"/>
      <c r="E125"/>
      <c r="F125"/>
    </row>
    <row r="126" spans="1:6" x14ac:dyDescent="0.3">
      <c r="A126" s="263"/>
      <c r="B126" s="263"/>
      <c r="C126" s="263"/>
      <c r="D126" s="263"/>
      <c r="E126"/>
      <c r="F126"/>
    </row>
    <row r="127" spans="1:6" x14ac:dyDescent="0.3">
      <c r="A127" s="263"/>
      <c r="B127" s="263"/>
      <c r="C127" s="263"/>
      <c r="D127" s="263"/>
      <c r="E127"/>
      <c r="F127"/>
    </row>
    <row r="128" spans="1:6" x14ac:dyDescent="0.3">
      <c r="A128" s="263"/>
      <c r="B128" s="263"/>
      <c r="C128" s="263"/>
      <c r="D128" s="263"/>
      <c r="E128"/>
      <c r="F128"/>
    </row>
    <row r="129" spans="1:6" x14ac:dyDescent="0.3">
      <c r="A129" s="263"/>
      <c r="B129" s="263"/>
      <c r="C129" s="263"/>
      <c r="D129" s="263"/>
      <c r="E129"/>
      <c r="F129"/>
    </row>
    <row r="130" spans="1:6" x14ac:dyDescent="0.3">
      <c r="A130" s="263"/>
      <c r="B130" s="263"/>
      <c r="C130" s="263"/>
      <c r="D130" s="263"/>
      <c r="E130"/>
      <c r="F130"/>
    </row>
    <row r="131" spans="1:6" x14ac:dyDescent="0.3">
      <c r="A131" s="263"/>
      <c r="B131" s="263"/>
      <c r="C131" s="263"/>
      <c r="D131" s="263"/>
      <c r="E131"/>
      <c r="F131"/>
    </row>
    <row r="132" spans="1:6" x14ac:dyDescent="0.3">
      <c r="A132" s="263"/>
      <c r="B132" s="263"/>
      <c r="C132" s="263"/>
      <c r="D132" s="263"/>
      <c r="E132"/>
      <c r="F132"/>
    </row>
    <row r="133" spans="1:6" x14ac:dyDescent="0.3">
      <c r="A133" s="263"/>
      <c r="B133" s="263"/>
      <c r="C133" s="263"/>
      <c r="D133" s="263"/>
      <c r="E133"/>
      <c r="F133"/>
    </row>
    <row r="134" spans="1:6" x14ac:dyDescent="0.3">
      <c r="A134" s="263"/>
      <c r="B134" s="263"/>
      <c r="C134" s="263"/>
      <c r="D134" s="263"/>
      <c r="E134"/>
      <c r="F134"/>
    </row>
    <row r="135" spans="1:6" x14ac:dyDescent="0.3">
      <c r="A135" s="263"/>
      <c r="B135" s="263"/>
      <c r="C135" s="263"/>
      <c r="D135" s="263"/>
      <c r="E135"/>
      <c r="F135"/>
    </row>
    <row r="136" spans="1:6" x14ac:dyDescent="0.3">
      <c r="A136" s="263"/>
      <c r="B136" s="263"/>
      <c r="C136" s="263"/>
      <c r="D136" s="263"/>
      <c r="E136"/>
      <c r="F136"/>
    </row>
    <row r="137" spans="1:6" x14ac:dyDescent="0.3">
      <c r="A137" s="263"/>
      <c r="B137" s="263"/>
      <c r="C137" s="263"/>
      <c r="D137" s="263"/>
      <c r="E137"/>
      <c r="F137"/>
    </row>
  </sheetData>
  <sortState xmlns:xlrd2="http://schemas.microsoft.com/office/spreadsheetml/2017/richdata2" ref="A79:D168">
    <sortCondition ref="A79:A168"/>
  </sortState>
  <mergeCells count="10">
    <mergeCell ref="P1:Q1"/>
    <mergeCell ref="N1:O1"/>
    <mergeCell ref="J1:K1"/>
    <mergeCell ref="H1:I1"/>
    <mergeCell ref="B12:C12"/>
    <mergeCell ref="B13:C13"/>
    <mergeCell ref="B2:C2"/>
    <mergeCell ref="B10:C10"/>
    <mergeCell ref="B11:C11"/>
    <mergeCell ref="L1:M1"/>
  </mergeCells>
  <pageMargins left="0.45" right="0.45" top="0.25" bottom="0.25" header="0" footer="0"/>
  <pageSetup scale="54" fitToHeight="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  <pageSetUpPr fitToPage="1"/>
  </sheetPr>
  <dimension ref="A1:T27"/>
  <sheetViews>
    <sheetView zoomScaleNormal="100" workbookViewId="0">
      <selection activeCell="B4" sqref="B4"/>
    </sheetView>
  </sheetViews>
  <sheetFormatPr defaultColWidth="9.109375" defaultRowHeight="14.4" x14ac:dyDescent="0.3"/>
  <cols>
    <col min="1" max="1" width="16.5546875" style="431" customWidth="1"/>
    <col min="2" max="2" width="34.5546875" style="431" bestFit="1" customWidth="1"/>
    <col min="3" max="3" width="9.44140625" style="432" bestFit="1" customWidth="1"/>
    <col min="4" max="4" width="5.44140625" style="432" bestFit="1" customWidth="1"/>
    <col min="5" max="5" width="9.5546875" style="426" bestFit="1" customWidth="1"/>
    <col min="6" max="6" width="12.44140625" style="427" bestFit="1" customWidth="1"/>
    <col min="7" max="7" width="9.109375" style="448"/>
    <col min="8" max="8" width="14.109375" style="431" customWidth="1"/>
    <col min="9" max="9" width="28.109375" style="431" bestFit="1" customWidth="1"/>
    <col min="10" max="10" width="10.44140625" style="432" bestFit="1" customWidth="1"/>
    <col min="11" max="11" width="5.44140625" style="432" bestFit="1" customWidth="1"/>
    <col min="12" max="12" width="9" style="426" bestFit="1" customWidth="1"/>
    <col min="13" max="13" width="12.44140625" style="427" bestFit="1" customWidth="1"/>
    <col min="14" max="14" width="9.109375" style="448"/>
    <col min="15" max="15" width="13.44140625" style="474" customWidth="1"/>
    <col min="16" max="16" width="26.109375" style="474" bestFit="1" customWidth="1"/>
    <col min="17" max="17" width="7.88671875" style="187" bestFit="1" customWidth="1"/>
    <col min="18" max="18" width="5" style="187" bestFit="1" customWidth="1"/>
    <col min="19" max="19" width="8.5546875" style="475" bestFit="1" customWidth="1"/>
    <col min="20" max="20" width="11" style="476" bestFit="1" customWidth="1"/>
    <col min="21" max="16384" width="9.109375" style="456"/>
  </cols>
  <sheetData>
    <row r="1" spans="1:20" x14ac:dyDescent="0.3">
      <c r="A1" s="430" t="s">
        <v>457</v>
      </c>
      <c r="C1" s="594"/>
      <c r="H1" s="430" t="s">
        <v>457</v>
      </c>
      <c r="J1" s="594"/>
      <c r="O1" s="473" t="s">
        <v>457</v>
      </c>
    </row>
    <row r="2" spans="1:20" x14ac:dyDescent="0.3">
      <c r="A2" s="430" t="s">
        <v>504</v>
      </c>
      <c r="F2" s="650"/>
      <c r="H2" s="430" t="s">
        <v>504</v>
      </c>
      <c r="O2" s="473" t="s">
        <v>504</v>
      </c>
    </row>
    <row r="3" spans="1:20" x14ac:dyDescent="0.3">
      <c r="A3" s="433"/>
      <c r="B3" s="430"/>
      <c r="F3" s="427">
        <f>F24+F13</f>
        <v>0</v>
      </c>
      <c r="H3" s="433"/>
      <c r="I3" s="430"/>
      <c r="O3" s="477"/>
      <c r="P3" s="473"/>
    </row>
    <row r="4" spans="1:20" x14ac:dyDescent="0.3">
      <c r="A4" s="433"/>
      <c r="B4" s="430"/>
      <c r="H4" s="433"/>
      <c r="I4" s="430"/>
      <c r="O4" s="477"/>
      <c r="P4" s="473"/>
    </row>
    <row r="5" spans="1:20" x14ac:dyDescent="0.3">
      <c r="A5" s="434"/>
      <c r="B5" s="434"/>
      <c r="C5" s="435"/>
      <c r="D5" s="435"/>
      <c r="E5" s="428"/>
      <c r="F5" s="429"/>
      <c r="H5" s="434"/>
      <c r="I5" s="434"/>
      <c r="J5" s="435"/>
      <c r="K5" s="435"/>
      <c r="L5" s="428"/>
      <c r="M5" s="429"/>
      <c r="O5" s="478"/>
      <c r="P5" s="478"/>
      <c r="Q5" s="479"/>
      <c r="R5" s="479"/>
      <c r="S5" s="480"/>
      <c r="T5" s="481"/>
    </row>
    <row r="6" spans="1:20" x14ac:dyDescent="0.3">
      <c r="A6" s="436" t="s">
        <v>522</v>
      </c>
      <c r="B6" s="437"/>
      <c r="C6" s="438"/>
      <c r="D6" s="438"/>
      <c r="E6" s="439"/>
      <c r="F6" s="440"/>
      <c r="H6" s="436" t="s">
        <v>458</v>
      </c>
      <c r="I6" s="437"/>
      <c r="J6" s="438"/>
      <c r="K6" s="438"/>
      <c r="L6" s="439"/>
      <c r="M6" s="440"/>
      <c r="O6" s="482" t="s">
        <v>458</v>
      </c>
      <c r="P6" s="483"/>
      <c r="Q6" s="484"/>
      <c r="R6" s="484"/>
      <c r="S6" s="485"/>
      <c r="T6" s="486"/>
    </row>
    <row r="7" spans="1:20" x14ac:dyDescent="0.3">
      <c r="A7" s="438" t="s">
        <v>459</v>
      </c>
      <c r="B7" s="438" t="s">
        <v>460</v>
      </c>
      <c r="C7" s="438" t="s">
        <v>461</v>
      </c>
      <c r="D7" s="438" t="s">
        <v>462</v>
      </c>
      <c r="E7" s="441" t="s">
        <v>463</v>
      </c>
      <c r="F7" s="442" t="s">
        <v>464</v>
      </c>
      <c r="H7" s="438" t="s">
        <v>459</v>
      </c>
      <c r="I7" s="438" t="s">
        <v>460</v>
      </c>
      <c r="J7" s="438" t="s">
        <v>461</v>
      </c>
      <c r="K7" s="438" t="s">
        <v>462</v>
      </c>
      <c r="L7" s="441" t="s">
        <v>463</v>
      </c>
      <c r="M7" s="442" t="s">
        <v>464</v>
      </c>
      <c r="O7" s="484" t="s">
        <v>459</v>
      </c>
      <c r="P7" s="484" t="s">
        <v>460</v>
      </c>
      <c r="Q7" s="484" t="s">
        <v>461</v>
      </c>
      <c r="R7" s="484" t="s">
        <v>462</v>
      </c>
      <c r="S7" s="487" t="s">
        <v>463</v>
      </c>
      <c r="T7" s="488" t="s">
        <v>464</v>
      </c>
    </row>
    <row r="8" spans="1:20" x14ac:dyDescent="0.3">
      <c r="A8" s="438">
        <v>1000075829</v>
      </c>
      <c r="B8" s="443"/>
      <c r="C8" s="438">
        <v>0</v>
      </c>
      <c r="D8" s="438" t="s">
        <v>235</v>
      </c>
      <c r="E8" s="441"/>
      <c r="F8" s="442">
        <f>SUM(E8*C8)</f>
        <v>0</v>
      </c>
      <c r="H8" s="438"/>
      <c r="I8" s="443"/>
      <c r="J8" s="438"/>
      <c r="K8" s="438"/>
      <c r="L8" s="441"/>
      <c r="M8" s="442">
        <f>SUM(L8*J8)</f>
        <v>0</v>
      </c>
      <c r="O8" s="484"/>
      <c r="P8" s="489"/>
      <c r="Q8" s="484"/>
      <c r="R8" s="484"/>
      <c r="S8" s="487"/>
      <c r="T8" s="488">
        <f>SUM(S8*Q8)</f>
        <v>0</v>
      </c>
    </row>
    <row r="9" spans="1:20" x14ac:dyDescent="0.3">
      <c r="A9" s="438"/>
      <c r="B9" s="443"/>
      <c r="C9" s="438"/>
      <c r="D9" s="438"/>
      <c r="E9" s="441"/>
      <c r="F9" s="442">
        <f>SUM(E9*C9)</f>
        <v>0</v>
      </c>
      <c r="H9" s="438"/>
      <c r="I9" s="443"/>
      <c r="J9" s="438"/>
      <c r="K9" s="438"/>
      <c r="L9" s="441"/>
      <c r="M9" s="442">
        <f>SUM(L9*J9)</f>
        <v>0</v>
      </c>
      <c r="O9" s="484"/>
      <c r="P9" s="489"/>
      <c r="Q9" s="484"/>
      <c r="R9" s="484"/>
      <c r="S9" s="487"/>
      <c r="T9" s="488">
        <f>SUM(S9*Q9)</f>
        <v>0</v>
      </c>
    </row>
    <row r="10" spans="1:20" x14ac:dyDescent="0.3">
      <c r="A10" s="438"/>
      <c r="B10" s="443"/>
      <c r="C10" s="438"/>
      <c r="D10" s="438"/>
      <c r="E10" s="441"/>
      <c r="F10" s="442">
        <f>SUM(E10*C10)</f>
        <v>0</v>
      </c>
      <c r="H10" s="438"/>
      <c r="I10" s="443"/>
      <c r="J10" s="438"/>
      <c r="K10" s="438"/>
      <c r="L10" s="441"/>
      <c r="M10" s="442">
        <f>SUM(L10*J10)</f>
        <v>0</v>
      </c>
      <c r="O10" s="484"/>
      <c r="P10" s="489"/>
      <c r="Q10" s="484"/>
      <c r="R10" s="484"/>
      <c r="S10" s="487"/>
      <c r="T10" s="488">
        <f>SUM(S10*Q10)</f>
        <v>0</v>
      </c>
    </row>
    <row r="11" spans="1:20" x14ac:dyDescent="0.3">
      <c r="A11" s="438"/>
      <c r="B11" s="443"/>
      <c r="C11" s="438"/>
      <c r="D11" s="438"/>
      <c r="E11" s="441"/>
      <c r="F11" s="442">
        <f>SUM(E11*C11)</f>
        <v>0</v>
      </c>
      <c r="H11" s="438"/>
      <c r="I11" s="443"/>
      <c r="J11" s="438"/>
      <c r="K11" s="438"/>
      <c r="L11" s="441"/>
      <c r="M11" s="442">
        <f>SUM(L11*J11)</f>
        <v>0</v>
      </c>
      <c r="O11" s="484"/>
      <c r="P11" s="489"/>
      <c r="Q11" s="484"/>
      <c r="R11" s="484"/>
      <c r="S11" s="487"/>
      <c r="T11" s="488">
        <f>SUM(S11*Q11)</f>
        <v>0</v>
      </c>
    </row>
    <row r="12" spans="1:20" x14ac:dyDescent="0.3">
      <c r="A12" s="438"/>
      <c r="B12" s="443"/>
      <c r="C12" s="438"/>
      <c r="D12" s="438"/>
      <c r="E12" s="441"/>
      <c r="F12" s="442">
        <f>SUM(E12*C12)</f>
        <v>0</v>
      </c>
      <c r="H12" s="438"/>
      <c r="I12" s="443"/>
      <c r="J12" s="438"/>
      <c r="K12" s="438"/>
      <c r="L12" s="441"/>
      <c r="M12" s="442">
        <f>SUM(L12*J12)</f>
        <v>0</v>
      </c>
      <c r="O12" s="484"/>
      <c r="P12" s="489"/>
      <c r="Q12" s="484"/>
      <c r="R12" s="484"/>
      <c r="S12" s="487"/>
      <c r="T12" s="488">
        <f>SUM(S12*Q12)</f>
        <v>0</v>
      </c>
    </row>
    <row r="13" spans="1:20" x14ac:dyDescent="0.3">
      <c r="A13" s="437"/>
      <c r="B13" s="436" t="s">
        <v>16</v>
      </c>
      <c r="C13" s="438"/>
      <c r="D13" s="438"/>
      <c r="E13" s="439"/>
      <c r="F13" s="444">
        <f>SUM(F8:F12)</f>
        <v>0</v>
      </c>
      <c r="H13" s="437"/>
      <c r="I13" s="436" t="s">
        <v>16</v>
      </c>
      <c r="J13" s="438"/>
      <c r="K13" s="438"/>
      <c r="L13" s="439"/>
      <c r="M13" s="444">
        <f>SUM(M8:M12)</f>
        <v>0</v>
      </c>
      <c r="O13" s="483"/>
      <c r="P13" s="482" t="s">
        <v>16</v>
      </c>
      <c r="Q13" s="484"/>
      <c r="R13" s="484"/>
      <c r="S13" s="485"/>
      <c r="T13" s="490">
        <f>SUM(T8:T12)</f>
        <v>0</v>
      </c>
    </row>
    <row r="14" spans="1:20" x14ac:dyDescent="0.3">
      <c r="A14" s="437"/>
      <c r="B14" s="437"/>
      <c r="C14" s="438"/>
      <c r="D14" s="438"/>
      <c r="E14" s="439"/>
      <c r="F14" s="440"/>
      <c r="H14" s="437"/>
      <c r="I14" s="437"/>
      <c r="J14" s="438"/>
      <c r="K14" s="438"/>
      <c r="L14" s="439"/>
      <c r="M14" s="440"/>
      <c r="O14" s="483"/>
      <c r="P14" s="483"/>
      <c r="Q14" s="484"/>
      <c r="R14" s="484"/>
      <c r="S14" s="485"/>
      <c r="T14" s="486"/>
    </row>
    <row r="15" spans="1:20" x14ac:dyDescent="0.3">
      <c r="A15" s="436" t="s">
        <v>465</v>
      </c>
      <c r="B15" s="437"/>
      <c r="C15" s="438"/>
      <c r="D15" s="438"/>
      <c r="E15" s="439"/>
      <c r="F15" s="440"/>
      <c r="H15" s="436" t="s">
        <v>465</v>
      </c>
      <c r="I15" s="437"/>
      <c r="J15" s="438"/>
      <c r="K15" s="438"/>
      <c r="L15" s="439"/>
      <c r="M15" s="440"/>
      <c r="O15" s="482" t="s">
        <v>465</v>
      </c>
      <c r="P15" s="483"/>
      <c r="Q15" s="484"/>
      <c r="R15" s="484"/>
      <c r="S15" s="485"/>
      <c r="T15" s="486"/>
    </row>
    <row r="16" spans="1:20" x14ac:dyDescent="0.3">
      <c r="A16" s="438" t="s">
        <v>207</v>
      </c>
      <c r="B16" s="438" t="s">
        <v>208</v>
      </c>
      <c r="C16" s="438" t="s">
        <v>461</v>
      </c>
      <c r="D16" s="438" t="s">
        <v>462</v>
      </c>
      <c r="E16" s="441" t="s">
        <v>463</v>
      </c>
      <c r="F16" s="442" t="s">
        <v>464</v>
      </c>
      <c r="H16" s="438" t="s">
        <v>207</v>
      </c>
      <c r="I16" s="438" t="s">
        <v>208</v>
      </c>
      <c r="J16" s="438" t="s">
        <v>461</v>
      </c>
      <c r="K16" s="438" t="s">
        <v>462</v>
      </c>
      <c r="L16" s="441" t="s">
        <v>463</v>
      </c>
      <c r="M16" s="442" t="s">
        <v>464</v>
      </c>
      <c r="O16" s="484" t="s">
        <v>207</v>
      </c>
      <c r="P16" s="484" t="s">
        <v>208</v>
      </c>
      <c r="Q16" s="484" t="s">
        <v>461</v>
      </c>
      <c r="R16" s="484" t="s">
        <v>462</v>
      </c>
      <c r="S16" s="487" t="s">
        <v>463</v>
      </c>
      <c r="T16" s="488" t="s">
        <v>464</v>
      </c>
    </row>
    <row r="17" spans="1:20" x14ac:dyDescent="0.3">
      <c r="A17" s="438">
        <v>1000010810</v>
      </c>
      <c r="B17" s="443" t="s">
        <v>547</v>
      </c>
      <c r="C17" s="438">
        <v>0</v>
      </c>
      <c r="D17" s="438" t="s">
        <v>542</v>
      </c>
      <c r="E17" s="441">
        <v>59.8</v>
      </c>
      <c r="F17" s="442">
        <f>SUM(E17*C17)</f>
        <v>0</v>
      </c>
      <c r="H17" s="438">
        <v>1000009722</v>
      </c>
      <c r="I17" s="443" t="s">
        <v>523</v>
      </c>
      <c r="J17" s="438"/>
      <c r="K17" s="438" t="s">
        <v>524</v>
      </c>
      <c r="L17" s="441">
        <v>28.63</v>
      </c>
      <c r="M17" s="442">
        <f>SUM(L17*J17)</f>
        <v>0</v>
      </c>
      <c r="O17" s="484"/>
      <c r="P17" s="489"/>
      <c r="Q17" s="484"/>
      <c r="R17" s="484"/>
      <c r="S17" s="487"/>
      <c r="T17" s="488"/>
    </row>
    <row r="18" spans="1:20" x14ac:dyDescent="0.3">
      <c r="A18" s="438"/>
      <c r="B18" s="443"/>
      <c r="C18" s="438"/>
      <c r="D18" s="438"/>
      <c r="E18" s="441"/>
      <c r="F18" s="442">
        <f>SUM(E18*C18)</f>
        <v>0</v>
      </c>
      <c r="H18" s="438"/>
      <c r="I18" s="443"/>
      <c r="J18" s="438"/>
      <c r="K18" s="438"/>
      <c r="L18" s="441"/>
      <c r="M18" s="442">
        <f>SUM(L18*J18)</f>
        <v>0</v>
      </c>
      <c r="O18" s="484"/>
      <c r="P18" s="489"/>
      <c r="Q18" s="484"/>
      <c r="R18" s="484" t="s">
        <v>234</v>
      </c>
      <c r="S18" s="487"/>
      <c r="T18" s="488"/>
    </row>
    <row r="19" spans="1:20" x14ac:dyDescent="0.3">
      <c r="A19" s="438"/>
      <c r="B19" s="443"/>
      <c r="C19" s="438"/>
      <c r="D19" s="438"/>
      <c r="E19" s="441"/>
      <c r="F19" s="442">
        <f>SUM(E19*C19)</f>
        <v>0</v>
      </c>
      <c r="H19" s="438"/>
      <c r="I19" s="443"/>
      <c r="J19" s="438"/>
      <c r="K19" s="438"/>
      <c r="L19" s="441"/>
      <c r="M19" s="442"/>
      <c r="O19" s="484"/>
      <c r="P19" s="489"/>
      <c r="Q19" s="484"/>
      <c r="R19" s="484" t="s">
        <v>234</v>
      </c>
      <c r="S19" s="487"/>
      <c r="T19" s="488"/>
    </row>
    <row r="20" spans="1:20" x14ac:dyDescent="0.3">
      <c r="A20" s="438"/>
      <c r="B20" s="443"/>
      <c r="C20" s="438"/>
      <c r="D20" s="438"/>
      <c r="E20" s="441"/>
      <c r="F20" s="442">
        <f>SUM(E20*C20)</f>
        <v>0</v>
      </c>
      <c r="H20" s="438"/>
      <c r="I20" s="443"/>
      <c r="J20" s="438"/>
      <c r="K20" s="438"/>
      <c r="L20" s="441"/>
      <c r="M20" s="442"/>
      <c r="O20" s="484"/>
      <c r="P20" s="489"/>
      <c r="Q20" s="484"/>
      <c r="R20" s="484" t="s">
        <v>234</v>
      </c>
      <c r="S20" s="487"/>
      <c r="T20" s="488"/>
    </row>
    <row r="21" spans="1:20" x14ac:dyDescent="0.3">
      <c r="A21" s="438"/>
      <c r="B21" s="443"/>
      <c r="C21" s="438"/>
      <c r="D21" s="438"/>
      <c r="E21" s="441"/>
      <c r="F21" s="442"/>
      <c r="H21" s="438"/>
      <c r="I21" s="443"/>
      <c r="J21" s="438"/>
      <c r="K21" s="438"/>
      <c r="L21" s="441"/>
      <c r="M21" s="442"/>
      <c r="O21" s="484"/>
      <c r="P21" s="489"/>
      <c r="Q21" s="484"/>
      <c r="R21" s="484"/>
      <c r="S21" s="487"/>
      <c r="T21" s="488"/>
    </row>
    <row r="22" spans="1:20" x14ac:dyDescent="0.3">
      <c r="A22" s="438"/>
      <c r="B22" s="443"/>
      <c r="C22" s="438"/>
      <c r="D22" s="438"/>
      <c r="E22" s="441"/>
      <c r="F22" s="442"/>
      <c r="H22" s="438"/>
      <c r="I22" s="443"/>
      <c r="J22" s="438"/>
      <c r="K22" s="438"/>
      <c r="L22" s="441"/>
      <c r="M22" s="442"/>
      <c r="O22" s="484"/>
      <c r="P22" s="489"/>
      <c r="Q22" s="484"/>
      <c r="R22" s="484"/>
      <c r="S22" s="487"/>
      <c r="T22" s="488"/>
    </row>
    <row r="23" spans="1:20" x14ac:dyDescent="0.3">
      <c r="A23" s="438"/>
      <c r="B23" s="443"/>
      <c r="C23" s="438"/>
      <c r="D23" s="438"/>
      <c r="E23" s="441"/>
      <c r="F23" s="442"/>
      <c r="H23" s="438"/>
      <c r="I23" s="443"/>
      <c r="J23" s="438"/>
      <c r="K23" s="438"/>
      <c r="L23" s="441"/>
      <c r="M23" s="442"/>
      <c r="O23" s="484"/>
      <c r="P23" s="489"/>
      <c r="Q23" s="484"/>
      <c r="R23" s="484"/>
      <c r="S23" s="487"/>
      <c r="T23" s="488"/>
    </row>
    <row r="24" spans="1:20" x14ac:dyDescent="0.3">
      <c r="A24" s="438"/>
      <c r="B24" s="436" t="s">
        <v>16</v>
      </c>
      <c r="C24" s="438"/>
      <c r="D24" s="438"/>
      <c r="E24" s="439"/>
      <c r="F24" s="444">
        <f>SUM(F17:F23)</f>
        <v>0</v>
      </c>
      <c r="H24" s="438"/>
      <c r="I24" s="436" t="s">
        <v>16</v>
      </c>
      <c r="J24" s="438"/>
      <c r="K24" s="438"/>
      <c r="L24" s="439"/>
      <c r="M24" s="444">
        <f>SUM(M17:M23)</f>
        <v>0</v>
      </c>
      <c r="O24" s="484"/>
      <c r="P24" s="482" t="s">
        <v>16</v>
      </c>
      <c r="Q24" s="484"/>
      <c r="R24" s="484"/>
      <c r="S24" s="485"/>
      <c r="T24" s="490">
        <f>SUM(T17:T23)</f>
        <v>0</v>
      </c>
    </row>
    <row r="25" spans="1:20" x14ac:dyDescent="0.3">
      <c r="A25" s="438"/>
      <c r="B25" s="437"/>
      <c r="C25" s="438"/>
      <c r="D25" s="438"/>
      <c r="E25" s="439"/>
      <c r="F25" s="440"/>
      <c r="H25" s="438"/>
      <c r="I25" s="437"/>
      <c r="J25" s="438"/>
      <c r="K25" s="438"/>
      <c r="L25" s="439"/>
      <c r="M25" s="440"/>
      <c r="O25" s="484"/>
      <c r="P25" s="483"/>
      <c r="Q25" s="484"/>
      <c r="R25" s="484"/>
      <c r="S25" s="485"/>
      <c r="T25" s="486"/>
    </row>
    <row r="26" spans="1:20" x14ac:dyDescent="0.3">
      <c r="A26" s="436" t="s">
        <v>466</v>
      </c>
      <c r="B26" s="436"/>
      <c r="C26" s="438"/>
      <c r="D26" s="438"/>
      <c r="E26" s="439"/>
      <c r="F26" s="444">
        <f>SUM(F13+F24)</f>
        <v>0</v>
      </c>
      <c r="H26" s="436" t="s">
        <v>466</v>
      </c>
      <c r="I26" s="436"/>
      <c r="J26" s="438"/>
      <c r="K26" s="438"/>
      <c r="L26" s="439"/>
      <c r="M26" s="444">
        <f>SUM(M13+M24)</f>
        <v>0</v>
      </c>
      <c r="O26" s="482" t="s">
        <v>466</v>
      </c>
      <c r="P26" s="482"/>
      <c r="Q26" s="484"/>
      <c r="R26" s="484"/>
      <c r="S26" s="485"/>
      <c r="T26" s="490">
        <f>SUM(T13+T24)</f>
        <v>0</v>
      </c>
    </row>
    <row r="27" spans="1:20" x14ac:dyDescent="0.3">
      <c r="A27" s="430"/>
      <c r="B27" s="430"/>
      <c r="C27" s="445"/>
      <c r="D27" s="445"/>
      <c r="E27" s="446"/>
      <c r="F27" s="447"/>
      <c r="H27" s="430"/>
      <c r="I27" s="430"/>
      <c r="J27" s="445"/>
      <c r="K27" s="445"/>
      <c r="L27" s="446"/>
      <c r="M27" s="447"/>
      <c r="O27" s="473"/>
      <c r="P27" s="473"/>
      <c r="Q27" s="491"/>
      <c r="R27" s="491"/>
      <c r="S27" s="492"/>
      <c r="T27" s="493"/>
    </row>
  </sheetData>
  <pageMargins left="0.7" right="0.7" top="0.75" bottom="0.75" header="0.3" footer="0.3"/>
  <pageSetup scale="4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  <pageSetUpPr fitToPage="1"/>
  </sheetPr>
  <dimension ref="A1:CE252"/>
  <sheetViews>
    <sheetView topLeftCell="AO67" zoomScale="80" zoomScaleNormal="80" zoomScaleSheetLayoutView="40" workbookViewId="0">
      <selection activeCell="AU78" sqref="AU78"/>
    </sheetView>
  </sheetViews>
  <sheetFormatPr defaultColWidth="9.109375" defaultRowHeight="14.4" x14ac:dyDescent="0.3"/>
  <cols>
    <col min="1" max="1" width="16.5546875" style="324" customWidth="1"/>
    <col min="2" max="2" width="44.44140625" style="324" bestFit="1" customWidth="1"/>
    <col min="3" max="3" width="9.109375" style="324"/>
    <col min="4" max="4" width="12.88671875" style="324" customWidth="1"/>
    <col min="5" max="5" width="18.5546875" style="324" bestFit="1" customWidth="1"/>
    <col min="6" max="6" width="9.109375" style="323"/>
    <col min="7" max="7" width="16.5546875" style="324" customWidth="1"/>
    <col min="8" max="8" width="44.44140625" style="324" bestFit="1" customWidth="1"/>
    <col min="9" max="9" width="10.5546875" style="324" bestFit="1" customWidth="1"/>
    <col min="10" max="10" width="12.5546875" style="324" customWidth="1"/>
    <col min="11" max="11" width="14" style="324" bestFit="1" customWidth="1"/>
    <col min="12" max="12" width="9.109375" style="323"/>
    <col min="13" max="13" width="16.5546875" style="324" customWidth="1"/>
    <col min="14" max="14" width="44.44140625" style="324" bestFit="1" customWidth="1"/>
    <col min="15" max="15" width="10.5546875" style="324" bestFit="1" customWidth="1"/>
    <col min="16" max="16" width="12.5546875" style="324" customWidth="1"/>
    <col min="17" max="17" width="14.5546875" style="324" bestFit="1" customWidth="1"/>
    <col min="18" max="18" width="9.109375" style="323"/>
    <col min="19" max="19" width="14.44140625" style="324" hidden="1" customWidth="1"/>
    <col min="20" max="20" width="41.5546875" style="324" hidden="1" customWidth="1"/>
    <col min="21" max="21" width="6.88671875" style="324" hidden="1" customWidth="1"/>
    <col min="22" max="22" width="13" style="324" hidden="1" customWidth="1"/>
    <col min="23" max="23" width="14.5546875" style="324" hidden="1" customWidth="1"/>
    <col min="24" max="24" width="0" style="323" hidden="1" customWidth="1"/>
    <col min="25" max="25" width="17.5546875" style="324" bestFit="1" customWidth="1"/>
    <col min="26" max="26" width="41.5546875" style="324" customWidth="1"/>
    <col min="27" max="27" width="6.88671875" style="324" customWidth="1"/>
    <col min="28" max="28" width="13" style="324" bestFit="1" customWidth="1"/>
    <col min="29" max="29" width="14.5546875" style="324" bestFit="1" customWidth="1"/>
    <col min="30" max="30" width="9.109375" style="323"/>
    <col min="31" max="31" width="17.5546875" style="324" bestFit="1" customWidth="1"/>
    <col min="32" max="32" width="41.5546875" style="324" customWidth="1"/>
    <col min="33" max="33" width="6.88671875" style="324" customWidth="1"/>
    <col min="34" max="34" width="13" style="324" bestFit="1" customWidth="1"/>
    <col min="35" max="35" width="14.5546875" style="324" bestFit="1" customWidth="1"/>
    <col min="36" max="36" width="9.109375" style="323"/>
    <col min="37" max="37" width="17.5546875" style="324" bestFit="1" customWidth="1"/>
    <col min="38" max="38" width="41.5546875" style="324" customWidth="1"/>
    <col min="39" max="39" width="9.5546875" style="324" bestFit="1" customWidth="1"/>
    <col min="40" max="40" width="13" style="324" bestFit="1" customWidth="1"/>
    <col min="41" max="41" width="14.5546875" style="324" bestFit="1" customWidth="1"/>
    <col min="42" max="42" width="9.109375" style="323"/>
    <col min="43" max="43" width="17.5546875" style="324" bestFit="1" customWidth="1"/>
    <col min="44" max="44" width="51.109375" style="324" customWidth="1"/>
    <col min="45" max="45" width="6.88671875" style="324" customWidth="1"/>
    <col min="46" max="46" width="13" style="324" bestFit="1" customWidth="1"/>
    <col min="47" max="47" width="14.5546875" style="324" bestFit="1" customWidth="1"/>
    <col min="48" max="48" width="9.109375" style="323"/>
    <col min="49" max="49" width="11.109375" style="324" bestFit="1" customWidth="1"/>
    <col min="50" max="50" width="25.88671875" style="324" customWidth="1"/>
    <col min="51" max="51" width="6.109375" style="324" customWidth="1"/>
    <col min="52" max="52" width="11.109375" style="324" bestFit="1" customWidth="1"/>
    <col min="53" max="53" width="22.44140625" style="324" customWidth="1"/>
    <col min="54" max="54" width="9.109375" style="323"/>
    <col min="55" max="55" width="9.109375" style="324"/>
    <col min="56" max="56" width="36" style="324" bestFit="1" customWidth="1"/>
    <col min="57" max="58" width="9.109375" style="324"/>
    <col min="59" max="59" width="14.109375" style="324" customWidth="1"/>
    <col min="60" max="60" width="9.109375" style="646"/>
    <col min="61" max="61" width="20.44140625" style="324" customWidth="1"/>
    <col min="62" max="62" width="40.5546875" style="324" customWidth="1"/>
    <col min="63" max="64" width="9.109375" style="324"/>
    <col min="65" max="65" width="18.109375" style="324" customWidth="1"/>
    <col min="66" max="66" width="9.109375" style="646"/>
    <col min="67" max="67" width="11" style="324" bestFit="1" customWidth="1"/>
    <col min="68" max="68" width="19.88671875" style="324" customWidth="1"/>
    <col min="69" max="70" width="9.109375" style="324"/>
    <col min="71" max="71" width="16" style="324" customWidth="1"/>
    <col min="72" max="72" width="9.109375" style="646"/>
    <col min="73" max="73" width="21.44140625" style="324" customWidth="1"/>
    <col min="74" max="74" width="34.88671875" style="324" customWidth="1"/>
    <col min="75" max="76" width="9.109375" style="324"/>
    <col min="77" max="77" width="14.109375" style="324" customWidth="1"/>
    <col min="78" max="78" width="9.109375" style="324"/>
    <col min="79" max="79" width="14.109375" style="324" customWidth="1"/>
    <col min="80" max="80" width="18" style="324" customWidth="1"/>
    <col min="81" max="82" width="9.109375" style="324"/>
    <col min="83" max="83" width="22" style="324" bestFit="1" customWidth="1"/>
    <col min="84" max="16384" width="9.109375" style="324"/>
  </cols>
  <sheetData>
    <row r="1" spans="1:83" x14ac:dyDescent="0.3">
      <c r="A1" s="890" t="s">
        <v>145</v>
      </c>
      <c r="B1" s="891"/>
      <c r="C1" s="322"/>
      <c r="D1" s="383" t="s">
        <v>199</v>
      </c>
      <c r="E1" s="384">
        <v>2023</v>
      </c>
      <c r="G1" s="890" t="s">
        <v>171</v>
      </c>
      <c r="H1" s="891"/>
      <c r="I1" s="322"/>
      <c r="J1" s="217" t="s">
        <v>199</v>
      </c>
      <c r="K1" s="218">
        <v>2023</v>
      </c>
      <c r="M1" s="890" t="s">
        <v>452</v>
      </c>
      <c r="N1" s="891"/>
      <c r="O1" s="322"/>
      <c r="P1" s="217" t="s">
        <v>199</v>
      </c>
      <c r="Q1" s="218">
        <v>2023</v>
      </c>
      <c r="S1" s="890"/>
      <c r="T1" s="891"/>
      <c r="U1" s="322"/>
      <c r="V1" s="383"/>
      <c r="W1" s="384"/>
      <c r="Y1" s="890" t="s">
        <v>478</v>
      </c>
      <c r="Z1" s="891"/>
      <c r="AA1" s="322"/>
      <c r="AB1" s="383" t="s">
        <v>199</v>
      </c>
      <c r="AC1" s="384">
        <v>2023</v>
      </c>
      <c r="AE1" s="890" t="s">
        <v>138</v>
      </c>
      <c r="AF1" s="896"/>
      <c r="AG1" s="322"/>
      <c r="AH1" s="383" t="s">
        <v>199</v>
      </c>
      <c r="AI1" s="384">
        <v>2023</v>
      </c>
      <c r="AK1" s="890" t="s">
        <v>592</v>
      </c>
      <c r="AL1" s="891"/>
      <c r="AM1" s="322"/>
      <c r="AN1" s="383" t="s">
        <v>199</v>
      </c>
      <c r="AO1" s="384">
        <v>2023</v>
      </c>
      <c r="AQ1" s="890" t="s">
        <v>169</v>
      </c>
      <c r="AR1" s="891"/>
      <c r="AS1" s="322"/>
      <c r="AT1" s="383" t="s">
        <v>199</v>
      </c>
      <c r="AU1" s="587">
        <v>2023</v>
      </c>
      <c r="AW1" s="890" t="s">
        <v>503</v>
      </c>
      <c r="AX1" s="891"/>
      <c r="AY1" s="322"/>
      <c r="AZ1" s="383" t="s">
        <v>199</v>
      </c>
      <c r="BA1" s="384">
        <v>2023</v>
      </c>
      <c r="BC1" s="890" t="s">
        <v>532</v>
      </c>
      <c r="BD1" s="891"/>
      <c r="BE1" s="322"/>
      <c r="BF1" s="383" t="s">
        <v>199</v>
      </c>
      <c r="BG1" s="384">
        <v>2023</v>
      </c>
      <c r="BI1" s="890" t="s">
        <v>156</v>
      </c>
      <c r="BJ1" s="891"/>
      <c r="BK1" s="322"/>
      <c r="BL1" s="383" t="s">
        <v>199</v>
      </c>
      <c r="BM1" s="384">
        <v>2023</v>
      </c>
      <c r="BO1" s="890" t="s">
        <v>557</v>
      </c>
      <c r="BP1" s="891"/>
      <c r="BQ1" s="322"/>
      <c r="BR1" s="383" t="s">
        <v>199</v>
      </c>
      <c r="BS1" s="384">
        <v>2023</v>
      </c>
      <c r="BU1" s="890" t="s">
        <v>143</v>
      </c>
      <c r="BV1" s="891"/>
      <c r="BW1" s="322"/>
      <c r="BX1" s="383" t="s">
        <v>199</v>
      </c>
      <c r="BY1" s="384">
        <v>2023</v>
      </c>
      <c r="CA1" s="890" t="s">
        <v>599</v>
      </c>
      <c r="CB1" s="891"/>
      <c r="CC1" s="322"/>
      <c r="CD1" s="383" t="s">
        <v>199</v>
      </c>
      <c r="CE1" s="384"/>
    </row>
    <row r="2" spans="1:83" x14ac:dyDescent="0.3">
      <c r="A2" s="325" t="s">
        <v>146</v>
      </c>
      <c r="B2" s="326"/>
      <c r="C2" s="327"/>
      <c r="D2" s="378" t="s">
        <v>12</v>
      </c>
      <c r="E2" s="379">
        <v>11</v>
      </c>
      <c r="G2" s="325" t="s">
        <v>152</v>
      </c>
      <c r="H2" s="326"/>
      <c r="I2" s="327"/>
      <c r="J2" s="219" t="s">
        <v>12</v>
      </c>
      <c r="K2" s="220">
        <v>11</v>
      </c>
      <c r="M2" s="325" t="s">
        <v>161</v>
      </c>
      <c r="N2" s="326"/>
      <c r="O2" s="327"/>
      <c r="P2" s="219" t="s">
        <v>12</v>
      </c>
      <c r="Q2" s="220">
        <v>11</v>
      </c>
      <c r="S2" s="325"/>
      <c r="T2" s="326"/>
      <c r="U2" s="327"/>
      <c r="V2" s="378"/>
      <c r="W2" s="379"/>
      <c r="Y2" s="325" t="s">
        <v>140</v>
      </c>
      <c r="Z2" s="326"/>
      <c r="AA2" s="327"/>
      <c r="AB2" s="378" t="s">
        <v>12</v>
      </c>
      <c r="AC2" s="379">
        <v>11</v>
      </c>
      <c r="AE2" s="325" t="s">
        <v>137</v>
      </c>
      <c r="AF2" s="326"/>
      <c r="AG2" s="327"/>
      <c r="AH2" s="378" t="s">
        <v>12</v>
      </c>
      <c r="AI2" s="695">
        <v>11</v>
      </c>
      <c r="AK2" s="325" t="s">
        <v>159</v>
      </c>
      <c r="AL2" s="326"/>
      <c r="AM2" s="327"/>
      <c r="AN2" s="378" t="s">
        <v>12</v>
      </c>
      <c r="AO2" s="379">
        <v>11</v>
      </c>
      <c r="AQ2" s="325" t="s">
        <v>148</v>
      </c>
      <c r="AR2" s="326"/>
      <c r="AS2" s="327"/>
      <c r="AT2" s="378" t="s">
        <v>12</v>
      </c>
      <c r="AU2" s="588">
        <v>11</v>
      </c>
      <c r="AW2" s="325" t="s">
        <v>155</v>
      </c>
      <c r="AX2" s="326"/>
      <c r="AY2" s="327"/>
      <c r="AZ2" s="378" t="s">
        <v>12</v>
      </c>
      <c r="BA2" s="379">
        <v>11</v>
      </c>
      <c r="BC2" s="325" t="s">
        <v>154</v>
      </c>
      <c r="BD2" s="326"/>
      <c r="BE2" s="327"/>
      <c r="BF2" s="378" t="s">
        <v>12</v>
      </c>
      <c r="BG2" s="379">
        <v>11</v>
      </c>
      <c r="BI2" s="325" t="s">
        <v>157</v>
      </c>
      <c r="BJ2" s="326"/>
      <c r="BK2" s="327"/>
      <c r="BL2" s="378" t="s">
        <v>12</v>
      </c>
      <c r="BM2" s="379">
        <v>11</v>
      </c>
      <c r="BO2" s="325" t="s">
        <v>150</v>
      </c>
      <c r="BP2" s="326"/>
      <c r="BQ2" s="327"/>
      <c r="BR2" s="378" t="s">
        <v>12</v>
      </c>
      <c r="BS2" s="379">
        <v>11</v>
      </c>
      <c r="BU2" s="325" t="s">
        <v>144</v>
      </c>
      <c r="BV2" s="326"/>
      <c r="BW2" s="327"/>
      <c r="BX2" s="378" t="s">
        <v>12</v>
      </c>
      <c r="BY2" s="379">
        <v>11</v>
      </c>
      <c r="CA2" s="325" t="s">
        <v>601</v>
      </c>
      <c r="CB2" s="326"/>
      <c r="CC2" s="327"/>
      <c r="CD2" s="378" t="s">
        <v>12</v>
      </c>
      <c r="CE2" s="379"/>
    </row>
    <row r="3" spans="1:83" ht="15" thickBot="1" x14ac:dyDescent="0.35">
      <c r="A3" s="328"/>
      <c r="B3" s="329"/>
      <c r="C3" s="381"/>
      <c r="D3" s="378" t="s">
        <v>200</v>
      </c>
      <c r="E3" s="379">
        <v>1</v>
      </c>
      <c r="G3" s="328"/>
      <c r="H3" s="329"/>
      <c r="I3" s="330"/>
      <c r="J3" s="219" t="s">
        <v>200</v>
      </c>
      <c r="K3" s="220">
        <v>1</v>
      </c>
      <c r="M3" s="328"/>
      <c r="N3" s="329"/>
      <c r="O3" s="330"/>
      <c r="P3" s="219" t="s">
        <v>200</v>
      </c>
      <c r="Q3" s="220">
        <v>1</v>
      </c>
      <c r="S3" s="328"/>
      <c r="T3" s="329"/>
      <c r="U3" s="381"/>
      <c r="V3" s="378"/>
      <c r="W3" s="379"/>
      <c r="Y3" s="328"/>
      <c r="Z3" s="329"/>
      <c r="AA3" s="381"/>
      <c r="AB3" s="378" t="s">
        <v>200</v>
      </c>
      <c r="AC3" s="818" t="s">
        <v>640</v>
      </c>
      <c r="AE3" s="328"/>
      <c r="AF3" s="329"/>
      <c r="AG3" s="381"/>
      <c r="AH3" s="378" t="s">
        <v>200</v>
      </c>
      <c r="AI3" s="695">
        <v>1</v>
      </c>
      <c r="AK3" s="328"/>
      <c r="AL3" s="329"/>
      <c r="AM3" s="381"/>
      <c r="AN3" s="378" t="s">
        <v>200</v>
      </c>
      <c r="AO3" s="695">
        <v>1</v>
      </c>
      <c r="AQ3" s="328"/>
      <c r="AR3" s="329"/>
      <c r="AS3" s="381"/>
      <c r="AT3" s="378" t="s">
        <v>200</v>
      </c>
      <c r="AU3" s="588">
        <v>1</v>
      </c>
      <c r="AW3" s="328"/>
      <c r="AX3" s="329"/>
      <c r="AY3" s="381"/>
      <c r="AZ3" s="378" t="s">
        <v>200</v>
      </c>
      <c r="BA3" s="379">
        <v>1</v>
      </c>
      <c r="BC3" s="328"/>
      <c r="BD3" s="329"/>
      <c r="BE3" s="381"/>
      <c r="BF3" s="378" t="s">
        <v>200</v>
      </c>
      <c r="BG3" s="379">
        <v>4</v>
      </c>
      <c r="BI3" s="328"/>
      <c r="BJ3" s="329"/>
      <c r="BK3" s="381"/>
      <c r="BL3" s="378" t="s">
        <v>200</v>
      </c>
      <c r="BM3" s="379">
        <v>1</v>
      </c>
      <c r="BO3" s="328"/>
      <c r="BP3" s="329"/>
      <c r="BQ3" s="381"/>
      <c r="BR3" s="378" t="s">
        <v>200</v>
      </c>
      <c r="BS3" s="818" t="s">
        <v>640</v>
      </c>
      <c r="BU3" s="328"/>
      <c r="BV3" s="329"/>
      <c r="BW3" s="381"/>
      <c r="BX3" s="378" t="s">
        <v>200</v>
      </c>
      <c r="BY3" s="379">
        <v>1</v>
      </c>
      <c r="CA3" s="328"/>
      <c r="CB3" s="329"/>
      <c r="CC3" s="381"/>
      <c r="CD3" s="378" t="s">
        <v>200</v>
      </c>
      <c r="CE3" s="379"/>
    </row>
    <row r="4" spans="1:83" ht="52.8" thickBot="1" x14ac:dyDescent="0.35">
      <c r="A4" s="331" t="s">
        <v>239</v>
      </c>
      <c r="B4" s="514" t="s">
        <v>631</v>
      </c>
      <c r="C4" s="332"/>
      <c r="D4" s="378" t="s">
        <v>201</v>
      </c>
      <c r="E4" s="380">
        <v>45140</v>
      </c>
      <c r="G4" s="358" t="s">
        <v>239</v>
      </c>
      <c r="H4" s="362" t="s">
        <v>454</v>
      </c>
      <c r="I4" s="332"/>
      <c r="J4" s="219" t="s">
        <v>201</v>
      </c>
      <c r="K4" s="221">
        <v>45140</v>
      </c>
      <c r="M4" s="331" t="s">
        <v>239</v>
      </c>
      <c r="N4" s="508" t="s">
        <v>627</v>
      </c>
      <c r="O4" s="332"/>
      <c r="P4" s="219" t="s">
        <v>201</v>
      </c>
      <c r="Q4" s="221">
        <v>45140</v>
      </c>
      <c r="S4" s="331"/>
      <c r="T4" s="364"/>
      <c r="U4" s="332"/>
      <c r="V4" s="378"/>
      <c r="W4" s="380"/>
      <c r="Y4" s="331" t="s">
        <v>239</v>
      </c>
      <c r="Z4" s="775" t="s">
        <v>666</v>
      </c>
      <c r="AA4" s="332"/>
      <c r="AB4" s="378" t="s">
        <v>201</v>
      </c>
      <c r="AC4" s="380">
        <v>45140</v>
      </c>
      <c r="AE4" s="331" t="s">
        <v>239</v>
      </c>
      <c r="AF4" s="508" t="s">
        <v>610</v>
      </c>
      <c r="AG4" s="332"/>
      <c r="AH4" s="378" t="s">
        <v>201</v>
      </c>
      <c r="AI4" s="380">
        <v>45140</v>
      </c>
      <c r="AK4" s="331" t="s">
        <v>239</v>
      </c>
      <c r="AL4" s="802" t="s">
        <v>621</v>
      </c>
      <c r="AM4" s="332"/>
      <c r="AN4" s="378" t="s">
        <v>201</v>
      </c>
      <c r="AO4" s="380">
        <v>45140</v>
      </c>
      <c r="AQ4" s="331" t="s">
        <v>239</v>
      </c>
      <c r="AR4" s="801" t="s">
        <v>569</v>
      </c>
      <c r="AS4" s="332"/>
      <c r="AT4" s="378" t="s">
        <v>201</v>
      </c>
      <c r="AU4" s="589">
        <v>45140</v>
      </c>
      <c r="AW4" s="331" t="s">
        <v>239</v>
      </c>
      <c r="AX4" s="508" t="s">
        <v>624</v>
      </c>
      <c r="AY4" s="332"/>
      <c r="AZ4" s="378" t="s">
        <v>201</v>
      </c>
      <c r="BA4" s="380">
        <v>45140</v>
      </c>
      <c r="BC4" s="331" t="s">
        <v>239</v>
      </c>
      <c r="BD4" s="508" t="s">
        <v>556</v>
      </c>
      <c r="BE4" s="332"/>
      <c r="BF4" s="378" t="s">
        <v>201</v>
      </c>
      <c r="BG4" s="380">
        <v>45161</v>
      </c>
      <c r="BI4" s="331" t="s">
        <v>239</v>
      </c>
      <c r="BJ4" s="508" t="s">
        <v>658</v>
      </c>
      <c r="BK4" s="332"/>
      <c r="BL4" s="378" t="s">
        <v>201</v>
      </c>
      <c r="BM4" s="380">
        <v>45140</v>
      </c>
      <c r="BO4" s="331" t="s">
        <v>239</v>
      </c>
      <c r="BP4" s="508" t="s">
        <v>625</v>
      </c>
      <c r="BQ4" s="332"/>
      <c r="BR4" s="378" t="s">
        <v>201</v>
      </c>
      <c r="BS4" s="380">
        <v>45140</v>
      </c>
      <c r="BU4" s="331" t="s">
        <v>239</v>
      </c>
      <c r="BV4" s="508" t="s">
        <v>720</v>
      </c>
      <c r="BW4" s="332"/>
      <c r="BX4" s="378" t="s">
        <v>201</v>
      </c>
      <c r="BY4" s="380">
        <v>45140</v>
      </c>
      <c r="CA4" s="331" t="s">
        <v>239</v>
      </c>
      <c r="CB4" s="508" t="s">
        <v>602</v>
      </c>
      <c r="CC4" s="332"/>
      <c r="CD4" s="378" t="s">
        <v>201</v>
      </c>
      <c r="CE4" s="380"/>
    </row>
    <row r="5" spans="1:83" ht="41.4" x14ac:dyDescent="0.3">
      <c r="A5" s="333" t="s">
        <v>445</v>
      </c>
      <c r="B5" s="334" t="s">
        <v>202</v>
      </c>
      <c r="C5" s="335" t="s">
        <v>203</v>
      </c>
      <c r="D5" s="336" t="s">
        <v>204</v>
      </c>
      <c r="E5" s="337" t="s">
        <v>205</v>
      </c>
      <c r="G5" s="333" t="s">
        <v>445</v>
      </c>
      <c r="H5" s="334" t="s">
        <v>202</v>
      </c>
      <c r="I5" s="335" t="s">
        <v>203</v>
      </c>
      <c r="J5" s="336" t="s">
        <v>204</v>
      </c>
      <c r="K5" s="337" t="s">
        <v>205</v>
      </c>
      <c r="M5" s="333" t="s">
        <v>445</v>
      </c>
      <c r="N5" s="334" t="s">
        <v>202</v>
      </c>
      <c r="O5" s="335" t="s">
        <v>203</v>
      </c>
      <c r="P5" s="336" t="s">
        <v>204</v>
      </c>
      <c r="Q5" s="337" t="s">
        <v>205</v>
      </c>
      <c r="S5" s="333"/>
      <c r="T5" s="334"/>
      <c r="U5" s="335"/>
      <c r="V5" s="336"/>
      <c r="W5" s="337"/>
      <c r="Y5" s="333" t="s">
        <v>445</v>
      </c>
      <c r="Z5" s="334" t="s">
        <v>202</v>
      </c>
      <c r="AA5" s="335" t="s">
        <v>203</v>
      </c>
      <c r="AB5" s="336" t="s">
        <v>204</v>
      </c>
      <c r="AC5" s="337" t="s">
        <v>205</v>
      </c>
      <c r="AE5" s="333" t="s">
        <v>445</v>
      </c>
      <c r="AF5" s="334" t="s">
        <v>202</v>
      </c>
      <c r="AG5" s="335" t="s">
        <v>203</v>
      </c>
      <c r="AH5" s="336" t="s">
        <v>204</v>
      </c>
      <c r="AI5" s="337" t="s">
        <v>205</v>
      </c>
      <c r="AK5" s="333" t="s">
        <v>445</v>
      </c>
      <c r="AL5" s="334" t="s">
        <v>202</v>
      </c>
      <c r="AM5" s="335" t="s">
        <v>203</v>
      </c>
      <c r="AN5" s="336" t="s">
        <v>204</v>
      </c>
      <c r="AO5" s="337" t="s">
        <v>205</v>
      </c>
      <c r="AQ5" s="333" t="s">
        <v>445</v>
      </c>
      <c r="AR5" s="334" t="s">
        <v>202</v>
      </c>
      <c r="AS5" s="335" t="s">
        <v>203</v>
      </c>
      <c r="AT5" s="336" t="s">
        <v>204</v>
      </c>
      <c r="AU5" s="590" t="s">
        <v>205</v>
      </c>
      <c r="AW5" s="333" t="s">
        <v>445</v>
      </c>
      <c r="AX5" s="334" t="s">
        <v>202</v>
      </c>
      <c r="AY5" s="335" t="s">
        <v>203</v>
      </c>
      <c r="AZ5" s="336" t="s">
        <v>204</v>
      </c>
      <c r="BA5" s="337" t="s">
        <v>205</v>
      </c>
      <c r="BC5" s="333" t="s">
        <v>445</v>
      </c>
      <c r="BD5" s="334" t="s">
        <v>202</v>
      </c>
      <c r="BE5" s="335" t="s">
        <v>203</v>
      </c>
      <c r="BF5" s="336" t="s">
        <v>204</v>
      </c>
      <c r="BG5" s="337" t="s">
        <v>205</v>
      </c>
      <c r="BI5" s="333" t="s">
        <v>445</v>
      </c>
      <c r="BJ5" s="334" t="s">
        <v>202</v>
      </c>
      <c r="BK5" s="335" t="s">
        <v>203</v>
      </c>
      <c r="BL5" s="336" t="s">
        <v>204</v>
      </c>
      <c r="BM5" s="337" t="s">
        <v>205</v>
      </c>
      <c r="BO5" s="333" t="s">
        <v>445</v>
      </c>
      <c r="BP5" s="334" t="s">
        <v>202</v>
      </c>
      <c r="BQ5" s="335" t="s">
        <v>203</v>
      </c>
      <c r="BR5" s="336" t="s">
        <v>204</v>
      </c>
      <c r="BS5" s="337" t="s">
        <v>205</v>
      </c>
      <c r="BU5" s="333" t="s">
        <v>445</v>
      </c>
      <c r="BV5" s="334" t="s">
        <v>202</v>
      </c>
      <c r="BW5" s="335" t="s">
        <v>203</v>
      </c>
      <c r="BX5" s="336" t="s">
        <v>204</v>
      </c>
      <c r="BY5" s="337" t="s">
        <v>205</v>
      </c>
      <c r="CA5" s="333" t="s">
        <v>445</v>
      </c>
      <c r="CB5" s="334" t="s">
        <v>202</v>
      </c>
      <c r="CC5" s="335" t="s">
        <v>203</v>
      </c>
      <c r="CD5" s="336" t="s">
        <v>204</v>
      </c>
      <c r="CE5" s="337" t="s">
        <v>205</v>
      </c>
    </row>
    <row r="6" spans="1:83" ht="26.4" x14ac:dyDescent="0.3">
      <c r="A6" s="338"/>
      <c r="B6" s="422" t="s">
        <v>722</v>
      </c>
      <c r="C6" s="382"/>
      <c r="D6" s="386"/>
      <c r="E6" s="342">
        <v>92</v>
      </c>
      <c r="G6" s="376">
        <v>46236</v>
      </c>
      <c r="H6" s="422" t="s">
        <v>447</v>
      </c>
      <c r="I6" s="382"/>
      <c r="J6" s="386">
        <v>120</v>
      </c>
      <c r="K6" s="345">
        <v>23.52</v>
      </c>
      <c r="M6" s="338"/>
      <c r="N6" s="422" t="s">
        <v>654</v>
      </c>
      <c r="O6" s="382"/>
      <c r="P6" s="386">
        <v>37</v>
      </c>
      <c r="Q6" s="769">
        <v>908.02</v>
      </c>
      <c r="S6" s="338"/>
      <c r="T6" s="463"/>
      <c r="U6" s="340"/>
      <c r="V6" s="341"/>
      <c r="W6" s="342"/>
      <c r="Y6" s="376" t="s">
        <v>556</v>
      </c>
      <c r="Z6" s="422" t="s">
        <v>716</v>
      </c>
      <c r="AA6" s="382"/>
      <c r="AB6" s="386"/>
      <c r="AC6" s="769">
        <v>824.84</v>
      </c>
      <c r="AE6" s="457"/>
      <c r="AF6" s="838" t="s">
        <v>687</v>
      </c>
      <c r="AG6" s="836" t="s">
        <v>688</v>
      </c>
      <c r="AH6" s="837">
        <v>2</v>
      </c>
      <c r="AI6" s="342">
        <v>49.08</v>
      </c>
      <c r="AK6" s="376"/>
      <c r="AL6" s="835" t="s">
        <v>708</v>
      </c>
      <c r="AM6" s="836"/>
      <c r="AN6" s="837">
        <v>14</v>
      </c>
      <c r="AO6" s="342">
        <v>436.63</v>
      </c>
      <c r="AQ6" s="376"/>
      <c r="AR6" s="457" t="s">
        <v>655</v>
      </c>
      <c r="AS6" s="382"/>
      <c r="AT6" s="837">
        <v>9</v>
      </c>
      <c r="AU6" s="342">
        <v>389.37</v>
      </c>
      <c r="AW6" s="834" t="s">
        <v>556</v>
      </c>
      <c r="AX6" s="835" t="s">
        <v>653</v>
      </c>
      <c r="AY6" s="836"/>
      <c r="AZ6" s="837">
        <v>40</v>
      </c>
      <c r="BA6" s="342">
        <v>945.3</v>
      </c>
      <c r="BC6" s="376" t="s">
        <v>556</v>
      </c>
      <c r="BD6" s="835" t="s">
        <v>735</v>
      </c>
      <c r="BE6" s="382" t="s">
        <v>556</v>
      </c>
      <c r="BF6" s="386">
        <v>1</v>
      </c>
      <c r="BG6" s="591">
        <v>24.66</v>
      </c>
      <c r="BI6" s="834" t="s">
        <v>556</v>
      </c>
      <c r="BJ6" s="835" t="s">
        <v>684</v>
      </c>
      <c r="BK6" s="836"/>
      <c r="BL6" s="837">
        <v>14</v>
      </c>
      <c r="BM6" s="342">
        <v>348.73</v>
      </c>
      <c r="BO6" s="755" t="s">
        <v>556</v>
      </c>
      <c r="BP6" s="854" t="s">
        <v>611</v>
      </c>
      <c r="BQ6" s="855"/>
      <c r="BR6" s="856">
        <v>140</v>
      </c>
      <c r="BS6" s="342">
        <v>3435.74</v>
      </c>
      <c r="BU6" s="790"/>
      <c r="BV6" s="779" t="s">
        <v>721</v>
      </c>
      <c r="BW6" s="780"/>
      <c r="BX6" s="781"/>
      <c r="BY6" s="342">
        <v>259.24</v>
      </c>
      <c r="CA6" s="755" t="s">
        <v>556</v>
      </c>
      <c r="CB6" s="458"/>
      <c r="CC6" s="382"/>
      <c r="CD6" s="386"/>
      <c r="CE6" s="342"/>
    </row>
    <row r="7" spans="1:83" ht="27" thickBot="1" x14ac:dyDescent="0.35">
      <c r="A7" s="338"/>
      <c r="B7" s="458"/>
      <c r="C7" s="382"/>
      <c r="D7" s="386"/>
      <c r="E7" s="342"/>
      <c r="G7" s="376">
        <v>46236</v>
      </c>
      <c r="H7" s="457" t="s">
        <v>448</v>
      </c>
      <c r="I7" s="382"/>
      <c r="J7" s="386">
        <v>120</v>
      </c>
      <c r="K7" s="345">
        <v>23.52</v>
      </c>
      <c r="M7" s="338"/>
      <c r="N7" s="457" t="s">
        <v>655</v>
      </c>
      <c r="O7" s="382"/>
      <c r="P7" s="386">
        <v>10</v>
      </c>
      <c r="Q7" s="769">
        <v>432.63</v>
      </c>
      <c r="S7" s="338"/>
      <c r="T7" s="463"/>
      <c r="U7" s="420"/>
      <c r="V7" s="421"/>
      <c r="W7" s="342"/>
      <c r="Y7" s="376"/>
      <c r="Z7" s="457"/>
      <c r="AA7" s="382"/>
      <c r="AB7" s="386"/>
      <c r="AC7" s="769"/>
      <c r="AE7" s="457"/>
      <c r="AF7" s="838" t="s">
        <v>689</v>
      </c>
      <c r="AG7" s="836" t="s">
        <v>688</v>
      </c>
      <c r="AH7" s="837">
        <v>1</v>
      </c>
      <c r="AI7" s="342">
        <v>28.3</v>
      </c>
      <c r="AK7" s="338"/>
      <c r="AL7" s="838" t="s">
        <v>709</v>
      </c>
      <c r="AM7" s="836"/>
      <c r="AN7" s="837">
        <v>2</v>
      </c>
      <c r="AO7" s="342">
        <v>86.53</v>
      </c>
      <c r="AQ7" s="376"/>
      <c r="AR7" s="458" t="s">
        <v>662</v>
      </c>
      <c r="AS7" s="382" t="s">
        <v>556</v>
      </c>
      <c r="AT7" s="837">
        <v>9</v>
      </c>
      <c r="AU7" s="342">
        <v>319.3</v>
      </c>
      <c r="AW7" s="376"/>
      <c r="AX7" s="838"/>
      <c r="AY7" s="836"/>
      <c r="AZ7" s="837"/>
      <c r="BA7" s="342"/>
      <c r="BC7" s="376"/>
      <c r="BD7" s="422"/>
      <c r="BE7" s="382"/>
      <c r="BF7" s="386"/>
      <c r="BG7" s="696" t="s">
        <v>556</v>
      </c>
      <c r="BI7" s="834"/>
      <c r="BJ7" s="838" t="s">
        <v>685</v>
      </c>
      <c r="BK7" s="836"/>
      <c r="BL7" s="837">
        <v>12</v>
      </c>
      <c r="BM7" s="342">
        <v>298.91000000000003</v>
      </c>
      <c r="BO7" s="376"/>
      <c r="BP7" s="857" t="s">
        <v>649</v>
      </c>
      <c r="BQ7" s="855"/>
      <c r="BR7" s="856">
        <v>20</v>
      </c>
      <c r="BS7" s="342">
        <v>915.63</v>
      </c>
      <c r="BU7" s="376"/>
      <c r="BV7" s="782"/>
      <c r="BW7" s="780"/>
      <c r="BX7" s="781"/>
      <c r="BY7" s="342"/>
      <c r="CA7" s="376"/>
      <c r="CB7" s="457"/>
      <c r="CC7" s="382"/>
      <c r="CD7" s="386"/>
      <c r="CE7" s="342"/>
    </row>
    <row r="8" spans="1:83" ht="27" thickBot="1" x14ac:dyDescent="0.35">
      <c r="A8" s="347"/>
      <c r="B8" s="457"/>
      <c r="C8" s="382"/>
      <c r="D8" s="386"/>
      <c r="E8" s="351"/>
      <c r="G8" s="376">
        <v>46236</v>
      </c>
      <c r="H8" s="422" t="s">
        <v>447</v>
      </c>
      <c r="I8" s="382"/>
      <c r="J8" s="386">
        <v>120</v>
      </c>
      <c r="K8" s="345">
        <v>23.52</v>
      </c>
      <c r="M8" s="338"/>
      <c r="N8" s="457" t="s">
        <v>677</v>
      </c>
      <c r="O8" s="382"/>
      <c r="P8" s="386">
        <v>2</v>
      </c>
      <c r="Q8" s="769">
        <v>58.1</v>
      </c>
      <c r="S8" s="338"/>
      <c r="T8" s="463"/>
      <c r="U8" s="420"/>
      <c r="V8" s="421"/>
      <c r="W8" s="342"/>
      <c r="Y8" s="376"/>
      <c r="Z8" s="457"/>
      <c r="AA8" s="382"/>
      <c r="AB8" s="386"/>
      <c r="AC8" s="769"/>
      <c r="AE8" s="458"/>
      <c r="AF8" s="838" t="s">
        <v>690</v>
      </c>
      <c r="AG8" s="836" t="s">
        <v>688</v>
      </c>
      <c r="AH8" s="837">
        <v>1</v>
      </c>
      <c r="AI8" s="342">
        <v>18.8</v>
      </c>
      <c r="AK8" s="819" t="s">
        <v>556</v>
      </c>
      <c r="AL8" s="838" t="s">
        <v>657</v>
      </c>
      <c r="AM8" s="836"/>
      <c r="AN8" s="837">
        <v>2</v>
      </c>
      <c r="AO8" s="342">
        <v>70.959999999999994</v>
      </c>
      <c r="AQ8" s="376"/>
      <c r="AR8" s="458" t="s">
        <v>733</v>
      </c>
      <c r="AS8" s="382" t="s">
        <v>556</v>
      </c>
      <c r="AT8" s="837">
        <v>19</v>
      </c>
      <c r="AU8" s="342">
        <v>461.69</v>
      </c>
      <c r="AW8" s="376"/>
      <c r="AX8" s="838"/>
      <c r="AY8" s="836"/>
      <c r="AZ8" s="837"/>
      <c r="BA8" s="342"/>
      <c r="BC8" s="338"/>
      <c r="BD8" s="508" t="s">
        <v>556</v>
      </c>
      <c r="BE8" s="420"/>
      <c r="BF8" s="421"/>
      <c r="BG8" s="342"/>
      <c r="BI8" s="376"/>
      <c r="BJ8" s="838" t="s">
        <v>657</v>
      </c>
      <c r="BK8" s="836"/>
      <c r="BL8" s="837">
        <v>14</v>
      </c>
      <c r="BM8" s="342">
        <v>496.69</v>
      </c>
      <c r="BO8" s="376"/>
      <c r="BP8" s="857" t="s">
        <v>651</v>
      </c>
      <c r="BQ8" s="855"/>
      <c r="BR8" s="856">
        <v>6</v>
      </c>
      <c r="BS8" s="342">
        <v>212.87</v>
      </c>
      <c r="BU8" s="376"/>
      <c r="BV8" s="782"/>
      <c r="BW8" s="780"/>
      <c r="BX8" s="781"/>
      <c r="BY8" s="342"/>
      <c r="CA8" s="376"/>
      <c r="CB8" s="457"/>
      <c r="CC8" s="382"/>
      <c r="CD8" s="386"/>
      <c r="CE8" s="342"/>
    </row>
    <row r="9" spans="1:83" ht="27" thickBot="1" x14ac:dyDescent="0.35">
      <c r="A9" s="352"/>
      <c r="B9" s="449"/>
      <c r="C9" s="892" t="s">
        <v>45</v>
      </c>
      <c r="D9" s="892"/>
      <c r="E9" s="385">
        <f>SUM(E6:E8)</f>
        <v>92</v>
      </c>
      <c r="G9" s="376">
        <v>46236</v>
      </c>
      <c r="H9" s="457" t="s">
        <v>449</v>
      </c>
      <c r="I9" s="382"/>
      <c r="J9" s="386">
        <v>120</v>
      </c>
      <c r="K9" s="345">
        <v>23.52</v>
      </c>
      <c r="M9" s="338"/>
      <c r="N9" s="458" t="s">
        <v>678</v>
      </c>
      <c r="O9" s="382"/>
      <c r="P9" s="386">
        <v>15</v>
      </c>
      <c r="Q9" s="769">
        <v>532.16</v>
      </c>
      <c r="S9" s="338"/>
      <c r="T9" s="463"/>
      <c r="U9" s="420"/>
      <c r="V9" s="421"/>
      <c r="W9" s="342"/>
      <c r="Y9" s="376"/>
      <c r="Z9" s="458"/>
      <c r="AA9" s="382"/>
      <c r="AB9" s="386"/>
      <c r="AC9" s="769"/>
      <c r="AE9" s="338"/>
      <c r="AF9" s="838" t="s">
        <v>691</v>
      </c>
      <c r="AG9" s="836" t="s">
        <v>688</v>
      </c>
      <c r="AH9" s="837">
        <v>1</v>
      </c>
      <c r="AI9" s="342">
        <v>9.82</v>
      </c>
      <c r="AK9" s="338"/>
      <c r="AL9" s="745" t="s">
        <v>652</v>
      </c>
      <c r="AM9" s="743"/>
      <c r="AN9" s="744">
        <v>1</v>
      </c>
      <c r="AO9" s="342">
        <v>25.46</v>
      </c>
      <c r="AQ9" s="338"/>
      <c r="AR9" s="463" t="s">
        <v>556</v>
      </c>
      <c r="AS9" s="420"/>
      <c r="AT9" s="840"/>
      <c r="AU9" s="591"/>
      <c r="AW9" s="376"/>
      <c r="AX9" s="458"/>
      <c r="AY9" s="382"/>
      <c r="AZ9" s="386"/>
      <c r="BA9" s="696"/>
      <c r="BC9" s="376" t="s">
        <v>556</v>
      </c>
      <c r="BD9" s="422" t="s">
        <v>556</v>
      </c>
      <c r="BE9" s="382" t="s">
        <v>556</v>
      </c>
      <c r="BF9" s="421" t="s">
        <v>556</v>
      </c>
      <c r="BG9" s="342"/>
      <c r="BI9" s="376"/>
      <c r="BJ9" s="458" t="s">
        <v>556</v>
      </c>
      <c r="BK9" s="382"/>
      <c r="BL9" s="386"/>
      <c r="BM9" s="342"/>
      <c r="BO9" s="755"/>
      <c r="BP9" s="858" t="s">
        <v>695</v>
      </c>
      <c r="BQ9" s="855"/>
      <c r="BR9" s="856"/>
      <c r="BS9" s="342"/>
      <c r="BU9" s="376"/>
      <c r="BV9" s="783"/>
      <c r="BW9" s="780"/>
      <c r="BX9" s="781"/>
      <c r="BY9" s="342"/>
      <c r="CA9" s="755"/>
      <c r="CB9" s="457"/>
      <c r="CC9" s="382"/>
      <c r="CD9" s="386"/>
      <c r="CE9" s="342"/>
    </row>
    <row r="10" spans="1:83" ht="15" thickBot="1" x14ac:dyDescent="0.35">
      <c r="A10" s="423"/>
      <c r="B10" s="424"/>
      <c r="C10" s="424"/>
      <c r="D10" s="424"/>
      <c r="E10" s="425"/>
      <c r="G10" s="376">
        <v>46236</v>
      </c>
      <c r="H10" s="422" t="s">
        <v>447</v>
      </c>
      <c r="I10" s="382"/>
      <c r="J10" s="386">
        <v>120</v>
      </c>
      <c r="K10" s="345">
        <v>23.52</v>
      </c>
      <c r="M10" s="338"/>
      <c r="N10" s="457" t="s">
        <v>679</v>
      </c>
      <c r="O10" s="382"/>
      <c r="P10" s="386">
        <v>19</v>
      </c>
      <c r="Q10" s="769">
        <v>488.13</v>
      </c>
      <c r="S10" s="338"/>
      <c r="T10" s="463"/>
      <c r="U10" s="420"/>
      <c r="V10" s="421"/>
      <c r="W10" s="342"/>
      <c r="Y10" s="376"/>
      <c r="Z10" s="457"/>
      <c r="AA10" s="382"/>
      <c r="AB10" s="386"/>
      <c r="AC10" s="769"/>
      <c r="AE10" s="338"/>
      <c r="AF10" s="838"/>
      <c r="AG10" s="836"/>
      <c r="AH10" s="837"/>
      <c r="AI10" s="342"/>
      <c r="AK10" s="338"/>
      <c r="AL10" s="463"/>
      <c r="AM10" s="420"/>
      <c r="AN10" s="421"/>
      <c r="AO10" s="342"/>
      <c r="AQ10" s="352"/>
      <c r="AR10" s="582"/>
      <c r="AS10" s="892" t="s">
        <v>45</v>
      </c>
      <c r="AT10" s="892"/>
      <c r="AU10" s="592">
        <f>SUM(AU6:AU9)</f>
        <v>1170.3600000000001</v>
      </c>
      <c r="AW10" s="376"/>
      <c r="AX10" s="458"/>
      <c r="AY10" s="382"/>
      <c r="AZ10" s="386"/>
      <c r="BA10" s="696"/>
      <c r="BC10" s="352"/>
      <c r="BD10" s="632"/>
      <c r="BE10" s="892" t="s">
        <v>45</v>
      </c>
      <c r="BF10" s="892"/>
      <c r="BG10" s="385">
        <f>SUM(BG6:BG9)</f>
        <v>24.66</v>
      </c>
      <c r="BI10" s="376"/>
      <c r="BJ10" s="457"/>
      <c r="BK10" s="382"/>
      <c r="BL10" s="386"/>
      <c r="BM10" s="703"/>
      <c r="BO10" s="376"/>
      <c r="BP10" s="857" t="s">
        <v>652</v>
      </c>
      <c r="BQ10" s="855"/>
      <c r="BR10" s="856">
        <v>10</v>
      </c>
      <c r="BS10" s="703">
        <v>254.61</v>
      </c>
      <c r="BU10" s="376"/>
      <c r="BV10" s="782"/>
      <c r="BW10" s="780"/>
      <c r="BX10" s="781"/>
      <c r="BY10" s="703"/>
      <c r="CA10" s="376"/>
      <c r="CB10" s="457"/>
      <c r="CC10" s="382"/>
      <c r="CD10" s="386"/>
      <c r="CE10" s="703"/>
    </row>
    <row r="11" spans="1:83" ht="15" thickBot="1" x14ac:dyDescent="0.35">
      <c r="A11" s="890" t="s">
        <v>145</v>
      </c>
      <c r="B11" s="891"/>
      <c r="C11" s="322"/>
      <c r="D11" s="383" t="s">
        <v>199</v>
      </c>
      <c r="E11" s="384">
        <v>2023</v>
      </c>
      <c r="G11" s="376">
        <v>46236</v>
      </c>
      <c r="H11" s="457" t="s">
        <v>448</v>
      </c>
      <c r="I11" s="382"/>
      <c r="J11" s="386">
        <v>120</v>
      </c>
      <c r="K11" s="345">
        <v>23.52</v>
      </c>
      <c r="M11" s="353"/>
      <c r="N11" s="353"/>
      <c r="O11" s="353"/>
      <c r="P11" s="353"/>
      <c r="Q11" s="286">
        <f>SUM(Q6:Q10)</f>
        <v>2419.04</v>
      </c>
      <c r="S11" s="338"/>
      <c r="T11" s="463"/>
      <c r="U11" s="420"/>
      <c r="V11" s="421"/>
      <c r="W11" s="342"/>
      <c r="Y11" s="376"/>
      <c r="Z11" s="457"/>
      <c r="AA11" s="382"/>
      <c r="AB11" s="386"/>
      <c r="AC11" s="769"/>
      <c r="AE11" s="376"/>
      <c r="AF11" s="838" t="s">
        <v>556</v>
      </c>
      <c r="AG11" s="836" t="s">
        <v>556</v>
      </c>
      <c r="AH11" s="837"/>
      <c r="AI11" s="342"/>
      <c r="AK11" s="338"/>
      <c r="AL11" s="463"/>
      <c r="AM11" s="420"/>
      <c r="AN11" s="421"/>
      <c r="AO11" s="342"/>
      <c r="AU11" s="593"/>
      <c r="AW11" s="376"/>
      <c r="AX11" s="458"/>
      <c r="AY11" s="382"/>
      <c r="AZ11" s="386"/>
      <c r="BA11" s="696"/>
      <c r="BI11" s="376"/>
      <c r="BJ11" s="457"/>
      <c r="BK11" s="382"/>
      <c r="BL11" s="386"/>
      <c r="BM11" s="709"/>
      <c r="BO11" s="376"/>
      <c r="BP11" s="457"/>
      <c r="BQ11" s="382"/>
      <c r="BR11" s="386"/>
      <c r="BS11" s="709"/>
      <c r="BU11" s="376"/>
      <c r="BV11" s="782"/>
      <c r="BW11" s="780"/>
      <c r="BX11" s="781"/>
      <c r="BY11" s="709"/>
      <c r="CA11" s="376"/>
      <c r="CB11" s="457"/>
      <c r="CC11" s="382"/>
      <c r="CD11" s="386"/>
      <c r="CE11" s="709"/>
    </row>
    <row r="12" spans="1:83" ht="15" thickBot="1" x14ac:dyDescent="0.35">
      <c r="A12" s="325" t="s">
        <v>146</v>
      </c>
      <c r="B12" s="326"/>
      <c r="C12" s="327"/>
      <c r="D12" s="378" t="s">
        <v>12</v>
      </c>
      <c r="E12" s="379">
        <v>11</v>
      </c>
      <c r="G12" s="376">
        <v>46236</v>
      </c>
      <c r="H12" s="422" t="s">
        <v>447</v>
      </c>
      <c r="I12" s="382"/>
      <c r="J12" s="386">
        <v>120</v>
      </c>
      <c r="K12" s="345">
        <v>23.52</v>
      </c>
      <c r="M12" s="890" t="s">
        <v>452</v>
      </c>
      <c r="N12" s="891"/>
      <c r="O12" s="322"/>
      <c r="P12" s="383" t="s">
        <v>199</v>
      </c>
      <c r="Q12" s="384">
        <v>2023</v>
      </c>
      <c r="S12" s="338"/>
      <c r="T12" s="463"/>
      <c r="U12" s="420"/>
      <c r="V12" s="421"/>
      <c r="W12" s="342"/>
      <c r="Y12" s="376"/>
      <c r="Z12" s="457"/>
      <c r="AA12" s="382"/>
      <c r="AB12" s="386"/>
      <c r="AC12" s="769"/>
      <c r="AE12" s="376"/>
      <c r="AF12" s="457"/>
      <c r="AG12" s="382"/>
      <c r="AH12" s="386"/>
      <c r="AI12" s="342"/>
      <c r="AK12" s="338"/>
      <c r="AL12" s="463"/>
      <c r="AM12" s="420"/>
      <c r="AN12" s="421"/>
      <c r="AO12" s="342"/>
      <c r="AU12" s="593"/>
      <c r="AW12" s="376"/>
      <c r="AX12" s="458"/>
      <c r="AY12" s="382"/>
      <c r="AZ12" s="386"/>
      <c r="BA12" s="696"/>
      <c r="BC12" s="890" t="s">
        <v>532</v>
      </c>
      <c r="BD12" s="891"/>
      <c r="BE12" s="322"/>
      <c r="BF12" s="383" t="s">
        <v>199</v>
      </c>
      <c r="BG12" s="384"/>
      <c r="BI12" s="376"/>
      <c r="BJ12" s="457"/>
      <c r="BK12" s="382"/>
      <c r="BL12" s="386"/>
      <c r="BM12" s="710"/>
      <c r="BO12" s="755"/>
      <c r="BP12" s="457" t="s">
        <v>525</v>
      </c>
      <c r="BQ12" s="382"/>
      <c r="BR12" s="386">
        <v>10800</v>
      </c>
      <c r="BS12" s="710">
        <v>2103.9499999999998</v>
      </c>
      <c r="BU12" s="376"/>
      <c r="BV12" s="782"/>
      <c r="BW12" s="780"/>
      <c r="BX12" s="781"/>
      <c r="BY12" s="710"/>
      <c r="CA12" s="755"/>
      <c r="CB12" s="457"/>
      <c r="CC12" s="382"/>
      <c r="CD12" s="386"/>
      <c r="CE12" s="710"/>
    </row>
    <row r="13" spans="1:83" ht="15" thickBot="1" x14ac:dyDescent="0.35">
      <c r="A13" s="328"/>
      <c r="B13" s="329"/>
      <c r="C13" s="381"/>
      <c r="D13" s="378" t="s">
        <v>200</v>
      </c>
      <c r="E13" s="379">
        <v>2</v>
      </c>
      <c r="G13" s="376">
        <v>46236</v>
      </c>
      <c r="H13" s="457" t="s">
        <v>450</v>
      </c>
      <c r="I13" s="382"/>
      <c r="J13" s="386">
        <v>120</v>
      </c>
      <c r="K13" s="345">
        <v>23.52</v>
      </c>
      <c r="M13" s="325" t="s">
        <v>161</v>
      </c>
      <c r="N13" s="326"/>
      <c r="O13" s="327"/>
      <c r="P13" s="378" t="s">
        <v>12</v>
      </c>
      <c r="Q13" s="379">
        <v>11</v>
      </c>
      <c r="S13" s="338"/>
      <c r="T13" s="463"/>
      <c r="U13" s="420"/>
      <c r="V13" s="421"/>
      <c r="W13" s="342"/>
      <c r="Y13" s="786"/>
      <c r="Z13" s="457"/>
      <c r="AA13" s="382"/>
      <c r="AB13" s="386"/>
      <c r="AC13" s="769"/>
      <c r="AE13" s="376"/>
      <c r="AF13" s="457"/>
      <c r="AG13" s="382"/>
      <c r="AH13" s="386"/>
      <c r="AI13" s="342"/>
      <c r="AK13" s="338"/>
      <c r="AL13" s="463"/>
      <c r="AM13" s="420"/>
      <c r="AN13" s="421"/>
      <c r="AO13" s="342"/>
      <c r="AQ13" s="890" t="s">
        <v>169</v>
      </c>
      <c r="AR13" s="891"/>
      <c r="AS13" s="322"/>
      <c r="AT13" s="383" t="s">
        <v>199</v>
      </c>
      <c r="AU13" s="587">
        <v>2023</v>
      </c>
      <c r="AW13" s="376"/>
      <c r="AX13" s="458"/>
      <c r="AY13" s="382"/>
      <c r="AZ13" s="386"/>
      <c r="BA13" s="696"/>
      <c r="BC13" s="325" t="s">
        <v>154</v>
      </c>
      <c r="BD13" s="326"/>
      <c r="BE13" s="327"/>
      <c r="BF13" s="378" t="s">
        <v>12</v>
      </c>
      <c r="BG13" s="379"/>
      <c r="BI13" s="376"/>
      <c r="BJ13" s="457"/>
      <c r="BK13" s="382"/>
      <c r="BL13" s="386"/>
      <c r="BM13" s="708"/>
      <c r="BO13" s="376"/>
      <c r="BP13" s="457"/>
      <c r="BQ13" s="382"/>
      <c r="BR13" s="386"/>
      <c r="BS13" s="708"/>
      <c r="BU13" s="376"/>
      <c r="BV13" s="782"/>
      <c r="BW13" s="780"/>
      <c r="BX13" s="781"/>
      <c r="BY13" s="708"/>
      <c r="CA13" s="376"/>
      <c r="CB13" s="457"/>
      <c r="CC13" s="382"/>
      <c r="CD13" s="386"/>
      <c r="CE13" s="708"/>
    </row>
    <row r="14" spans="1:83" ht="15" thickBot="1" x14ac:dyDescent="0.35">
      <c r="A14" s="331" t="s">
        <v>239</v>
      </c>
      <c r="B14" s="514" t="s">
        <v>556</v>
      </c>
      <c r="C14" s="332"/>
      <c r="D14" s="378" t="s">
        <v>201</v>
      </c>
      <c r="E14" s="380">
        <v>45147</v>
      </c>
      <c r="G14" s="376">
        <v>46236</v>
      </c>
      <c r="H14" s="422" t="s">
        <v>447</v>
      </c>
      <c r="I14" s="382"/>
      <c r="J14" s="386">
        <v>120</v>
      </c>
      <c r="K14" s="345">
        <v>23.52</v>
      </c>
      <c r="M14" s="328"/>
      <c r="N14" s="329"/>
      <c r="O14" s="381"/>
      <c r="P14" s="378" t="s">
        <v>200</v>
      </c>
      <c r="Q14" s="379">
        <v>2</v>
      </c>
      <c r="S14" s="338"/>
      <c r="T14" s="463"/>
      <c r="U14" s="420"/>
      <c r="V14" s="421"/>
      <c r="W14" s="342"/>
      <c r="Y14" s="376"/>
      <c r="Z14" s="457"/>
      <c r="AA14" s="382"/>
      <c r="AB14" s="386"/>
      <c r="AC14" s="769"/>
      <c r="AE14" s="376"/>
      <c r="AF14" s="457"/>
      <c r="AG14" s="382"/>
      <c r="AH14" s="386"/>
      <c r="AI14" s="342"/>
      <c r="AK14" s="338"/>
      <c r="AL14" s="463"/>
      <c r="AM14" s="420"/>
      <c r="AN14" s="421"/>
      <c r="AO14" s="342"/>
      <c r="AQ14" s="325" t="s">
        <v>148</v>
      </c>
      <c r="AR14" s="326"/>
      <c r="AS14" s="327"/>
      <c r="AT14" s="378" t="s">
        <v>12</v>
      </c>
      <c r="AU14" s="588">
        <v>11</v>
      </c>
      <c r="AW14" s="376"/>
      <c r="AX14" s="458"/>
      <c r="AY14" s="382"/>
      <c r="AZ14" s="386"/>
      <c r="BA14" s="696"/>
      <c r="BC14" s="328"/>
      <c r="BD14" s="329"/>
      <c r="BE14" s="381"/>
      <c r="BF14" s="378" t="s">
        <v>200</v>
      </c>
      <c r="BG14" s="379"/>
      <c r="BI14" s="705"/>
      <c r="BJ14" s="706"/>
      <c r="BK14" s="707"/>
      <c r="BL14" s="704"/>
      <c r="BM14" s="708"/>
      <c r="BO14" s="705"/>
      <c r="BP14" s="706"/>
      <c r="BQ14" s="707"/>
      <c r="BR14" s="704"/>
      <c r="BS14" s="708"/>
      <c r="BU14" s="705"/>
      <c r="BV14" s="782"/>
      <c r="BW14" s="780"/>
      <c r="BX14" s="781"/>
      <c r="BY14" s="708"/>
      <c r="CA14" s="705"/>
      <c r="CB14" s="706"/>
      <c r="CC14" s="707"/>
      <c r="CD14" s="704"/>
      <c r="CE14" s="708"/>
    </row>
    <row r="15" spans="1:83" ht="15" thickBot="1" x14ac:dyDescent="0.35">
      <c r="A15" s="635"/>
      <c r="B15" s="514" t="s">
        <v>631</v>
      </c>
      <c r="C15" s="332"/>
      <c r="D15" s="614"/>
      <c r="E15" s="636"/>
      <c r="G15" s="376">
        <v>46236</v>
      </c>
      <c r="H15" s="457" t="s">
        <v>448</v>
      </c>
      <c r="I15" s="382"/>
      <c r="J15" s="386">
        <v>120</v>
      </c>
      <c r="K15" s="345">
        <v>23.52</v>
      </c>
      <c r="M15" s="328"/>
      <c r="N15" s="329"/>
      <c r="O15" s="381"/>
      <c r="P15" s="378"/>
      <c r="Q15" s="379"/>
      <c r="S15" s="338"/>
      <c r="T15" s="463"/>
      <c r="U15" s="420"/>
      <c r="V15" s="421"/>
      <c r="W15" s="342"/>
      <c r="Y15" s="376"/>
      <c r="Z15" s="457"/>
      <c r="AA15" s="382"/>
      <c r="AB15" s="386"/>
      <c r="AC15" s="769"/>
      <c r="AE15" s="338"/>
      <c r="AF15" s="638"/>
      <c r="AG15" s="611"/>
      <c r="AH15" s="585"/>
      <c r="AI15" s="342"/>
      <c r="AK15" s="338"/>
      <c r="AL15" s="463"/>
      <c r="AM15" s="420"/>
      <c r="AN15" s="421"/>
      <c r="AO15" s="342"/>
      <c r="AQ15" s="325"/>
      <c r="AR15" s="326"/>
      <c r="AS15" s="327"/>
      <c r="AT15" s="378"/>
      <c r="AU15" s="588" t="s">
        <v>556</v>
      </c>
      <c r="AW15" s="376"/>
      <c r="AX15" s="458"/>
      <c r="AY15" s="382"/>
      <c r="AZ15" s="386"/>
      <c r="BA15" s="696"/>
      <c r="BC15" s="331" t="s">
        <v>239</v>
      </c>
      <c r="BD15" s="511" t="s">
        <v>556</v>
      </c>
      <c r="BE15" s="332"/>
      <c r="BF15" s="378" t="s">
        <v>201</v>
      </c>
      <c r="BG15" s="380"/>
      <c r="BI15" s="711"/>
      <c r="BJ15" s="712"/>
      <c r="BK15" s="713"/>
      <c r="BL15" s="714"/>
      <c r="BM15" s="715"/>
      <c r="BO15" s="711"/>
      <c r="BP15" s="712"/>
      <c r="BQ15" s="713"/>
      <c r="BR15" s="714"/>
      <c r="BS15" s="715"/>
      <c r="BU15" s="711"/>
      <c r="BV15" s="779"/>
      <c r="BW15" s="780"/>
      <c r="BX15" s="781"/>
      <c r="BY15" s="769"/>
      <c r="CA15" s="711"/>
      <c r="CB15" s="712"/>
      <c r="CC15" s="713"/>
      <c r="CD15" s="714"/>
      <c r="CE15" s="715"/>
    </row>
    <row r="16" spans="1:83" ht="42" thickBot="1" x14ac:dyDescent="0.35">
      <c r="A16" s="635"/>
      <c r="B16" s="514" t="s">
        <v>556</v>
      </c>
      <c r="C16" s="332"/>
      <c r="D16" s="614"/>
      <c r="E16" s="636"/>
      <c r="G16" s="376">
        <v>46236</v>
      </c>
      <c r="H16" s="422" t="s">
        <v>451</v>
      </c>
      <c r="I16" s="382"/>
      <c r="J16" s="386">
        <v>120</v>
      </c>
      <c r="K16" s="345">
        <v>23.52</v>
      </c>
      <c r="M16" s="328"/>
      <c r="N16" s="329"/>
      <c r="O16" s="381"/>
      <c r="P16" s="378"/>
      <c r="Q16" s="379"/>
      <c r="S16" s="338"/>
      <c r="T16" s="463"/>
      <c r="U16" s="420"/>
      <c r="V16" s="421"/>
      <c r="W16" s="342"/>
      <c r="Y16" s="376"/>
      <c r="Z16" s="457"/>
      <c r="AA16" s="382"/>
      <c r="AB16" s="386"/>
      <c r="AC16" s="769"/>
      <c r="AE16" s="338"/>
      <c r="AF16" s="638"/>
      <c r="AG16" s="611"/>
      <c r="AH16" s="585"/>
      <c r="AI16" s="342"/>
      <c r="AK16" s="338"/>
      <c r="AL16" s="463"/>
      <c r="AM16" s="420"/>
      <c r="AN16" s="421"/>
      <c r="AO16" s="342"/>
      <c r="AQ16" s="325"/>
      <c r="AR16" s="326"/>
      <c r="AS16" s="327"/>
      <c r="AT16" s="378"/>
      <c r="AU16" s="588"/>
      <c r="AW16" s="376"/>
      <c r="AX16" s="457"/>
      <c r="AY16" s="382"/>
      <c r="AZ16" s="386"/>
      <c r="BA16" s="696"/>
      <c r="BC16" s="333" t="s">
        <v>445</v>
      </c>
      <c r="BD16" s="334" t="s">
        <v>202</v>
      </c>
      <c r="BE16" s="335" t="s">
        <v>203</v>
      </c>
      <c r="BF16" s="336" t="s">
        <v>204</v>
      </c>
      <c r="BG16" s="337" t="s">
        <v>205</v>
      </c>
      <c r="BI16" s="716"/>
      <c r="BJ16" s="717"/>
      <c r="BK16" s="718"/>
      <c r="BL16" s="720" t="s">
        <v>16</v>
      </c>
      <c r="BM16" s="719">
        <f>SUM(BM6:BM15)</f>
        <v>1144.3300000000002</v>
      </c>
      <c r="BO16" s="716"/>
      <c r="BP16" s="717"/>
      <c r="BQ16" s="718"/>
      <c r="BR16" s="720" t="s">
        <v>16</v>
      </c>
      <c r="BS16" s="719">
        <f>SUM(BS6:BS15)</f>
        <v>6922.7999999999993</v>
      </c>
      <c r="BU16" s="716"/>
      <c r="BV16" s="717"/>
      <c r="BW16" s="718"/>
      <c r="BX16" s="720" t="s">
        <v>16</v>
      </c>
      <c r="BY16" s="719">
        <f>SUM(BY6:BY15)</f>
        <v>259.24</v>
      </c>
      <c r="CA16" s="716"/>
      <c r="CB16" s="717"/>
      <c r="CC16" s="718"/>
      <c r="CD16" s="720" t="s">
        <v>16</v>
      </c>
      <c r="CE16" s="719">
        <f>SUM(CE6:CE15)</f>
        <v>0</v>
      </c>
    </row>
    <row r="17" spans="1:83" ht="15" thickBot="1" x14ac:dyDescent="0.35">
      <c r="A17" s="635"/>
      <c r="B17" s="514"/>
      <c r="C17" s="332"/>
      <c r="D17" s="614"/>
      <c r="E17" s="636"/>
      <c r="G17" s="376">
        <v>46236</v>
      </c>
      <c r="H17" s="457" t="s">
        <v>448</v>
      </c>
      <c r="I17" s="382"/>
      <c r="J17" s="386">
        <v>120</v>
      </c>
      <c r="K17" s="345">
        <v>23.52</v>
      </c>
      <c r="M17" s="328"/>
      <c r="N17" s="329"/>
      <c r="O17" s="381"/>
      <c r="P17" s="378"/>
      <c r="Q17" s="379"/>
      <c r="S17" s="338"/>
      <c r="T17" s="463"/>
      <c r="U17" s="420"/>
      <c r="V17" s="421"/>
      <c r="W17" s="342"/>
      <c r="Y17" s="376"/>
      <c r="Z17" s="457"/>
      <c r="AA17" s="382"/>
      <c r="AB17" s="386"/>
      <c r="AC17" s="769"/>
      <c r="AE17" s="338"/>
      <c r="AF17" s="638"/>
      <c r="AG17" s="611"/>
      <c r="AH17" s="585"/>
      <c r="AI17" s="342"/>
      <c r="AK17" s="338"/>
      <c r="AL17" s="463"/>
      <c r="AM17" s="420"/>
      <c r="AN17" s="421"/>
      <c r="AO17" s="342"/>
      <c r="AQ17" s="325"/>
      <c r="AR17" s="326"/>
      <c r="AS17" s="327"/>
      <c r="AT17" s="378"/>
      <c r="AU17" s="588"/>
      <c r="AW17" s="376"/>
      <c r="AX17" s="422"/>
      <c r="AY17" s="382"/>
      <c r="AZ17" s="386"/>
      <c r="BA17" s="696"/>
      <c r="BC17" s="328"/>
      <c r="BD17" s="329"/>
      <c r="BE17" s="381"/>
      <c r="BF17" s="378"/>
      <c r="BG17" s="379"/>
      <c r="BI17" s="524"/>
      <c r="BJ17" s="326"/>
      <c r="BK17" s="327"/>
      <c r="BL17" s="522"/>
      <c r="BM17" s="523"/>
    </row>
    <row r="18" spans="1:83" ht="15" thickBot="1" x14ac:dyDescent="0.35">
      <c r="A18" s="635"/>
      <c r="B18" s="514"/>
      <c r="C18" s="332"/>
      <c r="D18" s="614"/>
      <c r="E18" s="636"/>
      <c r="G18" s="376">
        <v>46236</v>
      </c>
      <c r="H18" s="422" t="s">
        <v>447</v>
      </c>
      <c r="I18" s="382"/>
      <c r="J18" s="386">
        <v>120</v>
      </c>
      <c r="K18" s="345">
        <v>23.52</v>
      </c>
      <c r="M18" s="328"/>
      <c r="N18" s="329"/>
      <c r="O18" s="381"/>
      <c r="P18" s="378"/>
      <c r="Q18" s="379"/>
      <c r="S18" s="338"/>
      <c r="T18" s="463"/>
      <c r="U18" s="420"/>
      <c r="V18" s="421"/>
      <c r="W18" s="342"/>
      <c r="Y18" s="376"/>
      <c r="Z18" s="422"/>
      <c r="AA18" s="382"/>
      <c r="AB18" s="386"/>
      <c r="AC18" s="769"/>
      <c r="AE18" s="338"/>
      <c r="AF18" s="638"/>
      <c r="AG18" s="611"/>
      <c r="AH18" s="585"/>
      <c r="AI18" s="342"/>
      <c r="AK18" s="338"/>
      <c r="AL18" s="463"/>
      <c r="AM18" s="420"/>
      <c r="AN18" s="421"/>
      <c r="AO18" s="342"/>
      <c r="AQ18" s="325"/>
      <c r="AR18" s="326"/>
      <c r="AS18" s="327"/>
      <c r="AT18" s="378"/>
      <c r="AU18" s="588"/>
      <c r="AW18" s="376"/>
      <c r="AX18" s="422"/>
      <c r="AY18" s="382"/>
      <c r="AZ18" s="386"/>
      <c r="BA18" s="696"/>
      <c r="BC18" s="328"/>
      <c r="BD18" s="329"/>
      <c r="BE18" s="381"/>
      <c r="BF18" s="378"/>
      <c r="BG18" s="379"/>
      <c r="BI18" s="890" t="s">
        <v>156</v>
      </c>
      <c r="BJ18" s="891"/>
      <c r="BK18" s="322"/>
      <c r="BL18" s="383" t="s">
        <v>199</v>
      </c>
      <c r="BM18" s="384">
        <v>2023</v>
      </c>
      <c r="BO18" s="890" t="s">
        <v>557</v>
      </c>
      <c r="BP18" s="891"/>
      <c r="BQ18" s="322"/>
      <c r="BR18" s="383" t="s">
        <v>199</v>
      </c>
      <c r="BS18" s="384">
        <v>2023</v>
      </c>
      <c r="BU18" s="890" t="s">
        <v>143</v>
      </c>
      <c r="BV18" s="891"/>
      <c r="BW18" s="322"/>
      <c r="BX18" s="383" t="s">
        <v>199</v>
      </c>
      <c r="BY18" s="384">
        <v>2023</v>
      </c>
      <c r="CA18" s="890" t="s">
        <v>599</v>
      </c>
      <c r="CB18" s="891"/>
      <c r="CC18" s="322"/>
      <c r="CD18" s="383" t="s">
        <v>199</v>
      </c>
      <c r="CE18" s="384"/>
    </row>
    <row r="19" spans="1:83" ht="15" thickBot="1" x14ac:dyDescent="0.35">
      <c r="A19" s="635"/>
      <c r="B19" s="514"/>
      <c r="C19" s="332"/>
      <c r="D19" s="614"/>
      <c r="E19" s="636"/>
      <c r="G19" s="376">
        <v>46236</v>
      </c>
      <c r="H19" s="457" t="s">
        <v>448</v>
      </c>
      <c r="I19" s="382"/>
      <c r="J19" s="386">
        <v>120</v>
      </c>
      <c r="K19" s="345">
        <v>22.85</v>
      </c>
      <c r="M19" s="328"/>
      <c r="N19" s="329"/>
      <c r="O19" s="381"/>
      <c r="P19" s="378"/>
      <c r="Q19" s="379"/>
      <c r="S19" s="338"/>
      <c r="T19" s="463"/>
      <c r="U19" s="420"/>
      <c r="V19" s="421"/>
      <c r="W19" s="342"/>
      <c r="Y19" s="376"/>
      <c r="Z19" s="422"/>
      <c r="AA19" s="382"/>
      <c r="AB19" s="386"/>
      <c r="AC19" s="769"/>
      <c r="AE19" s="338"/>
      <c r="AF19" s="638"/>
      <c r="AG19" s="611"/>
      <c r="AH19" s="585"/>
      <c r="AI19" s="342"/>
      <c r="AK19" s="338"/>
      <c r="AL19" s="463"/>
      <c r="AM19" s="420"/>
      <c r="AN19" s="421"/>
      <c r="AO19" s="342"/>
      <c r="AQ19" s="325"/>
      <c r="AR19" s="326"/>
      <c r="AS19" s="327"/>
      <c r="AT19" s="378"/>
      <c r="AU19" s="588"/>
      <c r="AW19" s="376"/>
      <c r="AX19" s="422"/>
      <c r="AY19" s="382"/>
      <c r="AZ19" s="386"/>
      <c r="BA19" s="696"/>
      <c r="BC19" s="328"/>
      <c r="BD19" s="329"/>
      <c r="BE19" s="381"/>
      <c r="BF19" s="378"/>
      <c r="BG19" s="379"/>
      <c r="BI19" s="325" t="s">
        <v>157</v>
      </c>
      <c r="BJ19" s="326"/>
      <c r="BK19" s="327"/>
      <c r="BL19" s="378" t="s">
        <v>12</v>
      </c>
      <c r="BM19" s="379">
        <v>11</v>
      </c>
      <c r="BO19" s="325" t="s">
        <v>150</v>
      </c>
      <c r="BP19" s="326"/>
      <c r="BQ19" s="327"/>
      <c r="BR19" s="378" t="s">
        <v>12</v>
      </c>
      <c r="BS19" s="379">
        <v>11</v>
      </c>
      <c r="BU19" s="325" t="s">
        <v>144</v>
      </c>
      <c r="BV19" s="326"/>
      <c r="BW19" s="327"/>
      <c r="BX19" s="378" t="s">
        <v>12</v>
      </c>
      <c r="BY19" s="379">
        <v>8</v>
      </c>
      <c r="CA19" s="325" t="s">
        <v>601</v>
      </c>
      <c r="CB19" s="326"/>
      <c r="CC19" s="327"/>
      <c r="CD19" s="378" t="s">
        <v>12</v>
      </c>
      <c r="CE19" s="379"/>
    </row>
    <row r="20" spans="1:83" ht="15" thickBot="1" x14ac:dyDescent="0.35">
      <c r="A20" s="635"/>
      <c r="B20" s="514"/>
      <c r="C20" s="332"/>
      <c r="D20" s="614"/>
      <c r="E20" s="636"/>
      <c r="G20" s="376"/>
      <c r="H20" s="422"/>
      <c r="I20" s="382"/>
      <c r="J20" s="386"/>
      <c r="K20" s="342"/>
      <c r="M20" s="328"/>
      <c r="N20" s="329"/>
      <c r="O20" s="381"/>
      <c r="P20" s="378"/>
      <c r="Q20" s="379"/>
      <c r="S20" s="338"/>
      <c r="T20" s="463"/>
      <c r="U20" s="420"/>
      <c r="V20" s="421"/>
      <c r="W20" s="342"/>
      <c r="Y20" s="376"/>
      <c r="Z20" s="422"/>
      <c r="AA20" s="382"/>
      <c r="AB20" s="386"/>
      <c r="AC20" s="769"/>
      <c r="AE20" s="338"/>
      <c r="AF20" s="638"/>
      <c r="AG20" s="611"/>
      <c r="AH20" s="585"/>
      <c r="AI20" s="342"/>
      <c r="AK20" s="338"/>
      <c r="AL20" s="463"/>
      <c r="AM20" s="420"/>
      <c r="AN20" s="421"/>
      <c r="AO20" s="342"/>
      <c r="AQ20" s="325"/>
      <c r="AR20" s="326"/>
      <c r="AS20" s="327"/>
      <c r="AT20" s="378"/>
      <c r="AU20" s="588"/>
      <c r="AW20" s="376"/>
      <c r="AX20" s="422"/>
      <c r="AY20" s="382"/>
      <c r="AZ20" s="386"/>
      <c r="BA20" s="696"/>
      <c r="BC20" s="376"/>
      <c r="BD20" s="835"/>
      <c r="BE20" s="382"/>
      <c r="BF20" s="386"/>
      <c r="BG20" s="696" t="s">
        <v>556</v>
      </c>
      <c r="BI20" s="328"/>
      <c r="BJ20" s="329"/>
      <c r="BK20" s="381"/>
      <c r="BL20" s="378" t="s">
        <v>200</v>
      </c>
      <c r="BM20" s="379">
        <v>2</v>
      </c>
      <c r="BO20" s="328"/>
      <c r="BP20" s="329"/>
      <c r="BQ20" s="381"/>
      <c r="BR20" s="378" t="s">
        <v>200</v>
      </c>
      <c r="BS20" s="379">
        <v>2</v>
      </c>
      <c r="BU20" s="328"/>
      <c r="BV20" s="329"/>
      <c r="BW20" s="381"/>
      <c r="BX20" s="378" t="s">
        <v>200</v>
      </c>
      <c r="BY20" s="379">
        <v>5</v>
      </c>
      <c r="CA20" s="328"/>
      <c r="CB20" s="329"/>
      <c r="CC20" s="381"/>
      <c r="CD20" s="378" t="s">
        <v>200</v>
      </c>
      <c r="CE20" s="379"/>
    </row>
    <row r="21" spans="1:83" ht="35.4" thickBot="1" x14ac:dyDescent="0.35">
      <c r="A21" s="333" t="s">
        <v>445</v>
      </c>
      <c r="B21" s="334" t="s">
        <v>202</v>
      </c>
      <c r="C21" s="335" t="s">
        <v>203</v>
      </c>
      <c r="D21" s="336" t="s">
        <v>204</v>
      </c>
      <c r="E21" s="337" t="s">
        <v>205</v>
      </c>
      <c r="G21" s="376"/>
      <c r="H21" s="457"/>
      <c r="I21" s="382"/>
      <c r="J21" s="386"/>
      <c r="K21" s="345"/>
      <c r="M21" s="331" t="s">
        <v>239</v>
      </c>
      <c r="N21" s="508" t="s">
        <v>627</v>
      </c>
      <c r="O21" s="332"/>
      <c r="P21" s="378" t="s">
        <v>201</v>
      </c>
      <c r="Q21" s="380">
        <v>45147</v>
      </c>
      <c r="S21" s="338"/>
      <c r="T21" s="463"/>
      <c r="U21" s="420"/>
      <c r="V21" s="421"/>
      <c r="W21" s="342"/>
      <c r="Y21" s="376"/>
      <c r="Z21" s="422"/>
      <c r="AA21" s="382"/>
      <c r="AB21" s="386"/>
      <c r="AC21" s="342"/>
      <c r="AE21" s="338"/>
      <c r="AF21" s="610"/>
      <c r="AG21" s="612"/>
      <c r="AH21" s="421"/>
      <c r="AI21" s="342"/>
      <c r="AK21" s="338"/>
      <c r="AL21" s="463"/>
      <c r="AM21" s="420"/>
      <c r="AN21" s="421"/>
      <c r="AO21" s="342"/>
      <c r="AQ21" s="328"/>
      <c r="AR21" s="329"/>
      <c r="AS21" s="381"/>
      <c r="AT21" s="378" t="s">
        <v>200</v>
      </c>
      <c r="AU21" s="588">
        <v>2</v>
      </c>
      <c r="AW21" s="376"/>
      <c r="AX21" s="422"/>
      <c r="AY21" s="382"/>
      <c r="AZ21" s="386"/>
      <c r="BA21" s="696"/>
      <c r="BC21" s="376"/>
      <c r="BD21" s="457"/>
      <c r="BE21" s="382"/>
      <c r="BF21" s="386"/>
      <c r="BG21" s="342" t="s">
        <v>556</v>
      </c>
      <c r="BI21" s="331" t="s">
        <v>239</v>
      </c>
      <c r="BJ21" s="508" t="s">
        <v>658</v>
      </c>
      <c r="BK21" s="332"/>
      <c r="BL21" s="378" t="s">
        <v>201</v>
      </c>
      <c r="BM21" s="380">
        <v>45147</v>
      </c>
      <c r="BO21" s="331" t="s">
        <v>239</v>
      </c>
      <c r="BP21" s="508" t="s">
        <v>625</v>
      </c>
      <c r="BQ21" s="332"/>
      <c r="BR21" s="378" t="s">
        <v>201</v>
      </c>
      <c r="BS21" s="380">
        <v>45147</v>
      </c>
      <c r="BU21" s="331" t="s">
        <v>239</v>
      </c>
      <c r="BV21" s="511" t="s">
        <v>556</v>
      </c>
      <c r="BW21" s="332"/>
      <c r="BX21" s="378" t="s">
        <v>201</v>
      </c>
      <c r="BY21" s="380">
        <v>45077</v>
      </c>
      <c r="CA21" s="331" t="s">
        <v>239</v>
      </c>
      <c r="CB21" s="508" t="s">
        <v>602</v>
      </c>
      <c r="CC21" s="332"/>
      <c r="CD21" s="378" t="s">
        <v>201</v>
      </c>
      <c r="CE21" s="380"/>
    </row>
    <row r="22" spans="1:83" ht="42" thickBot="1" x14ac:dyDescent="0.35">
      <c r="A22" s="363"/>
      <c r="B22" s="422" t="s">
        <v>725</v>
      </c>
      <c r="C22" s="382"/>
      <c r="D22" s="386"/>
      <c r="E22" s="342">
        <v>325</v>
      </c>
      <c r="G22" s="376"/>
      <c r="H22" s="422"/>
      <c r="I22" s="382"/>
      <c r="J22" s="386"/>
      <c r="K22" s="345"/>
      <c r="M22" s="333" t="s">
        <v>445</v>
      </c>
      <c r="N22" s="334" t="s">
        <v>202</v>
      </c>
      <c r="O22" s="335" t="s">
        <v>203</v>
      </c>
      <c r="P22" s="336" t="s">
        <v>204</v>
      </c>
      <c r="Q22" s="337"/>
      <c r="S22" s="338"/>
      <c r="T22" s="463"/>
      <c r="U22" s="420"/>
      <c r="V22" s="421"/>
      <c r="W22" s="342"/>
      <c r="Y22" s="376"/>
      <c r="Z22" s="422"/>
      <c r="AA22" s="382"/>
      <c r="AB22" s="386"/>
      <c r="AC22" s="342"/>
      <c r="AE22" s="352"/>
      <c r="AF22" s="459"/>
      <c r="AG22" s="892" t="s">
        <v>45</v>
      </c>
      <c r="AH22" s="892"/>
      <c r="AI22" s="385">
        <f>SUM(AI6:AI21)</f>
        <v>106</v>
      </c>
      <c r="AK22" s="338"/>
      <c r="AL22" s="463"/>
      <c r="AM22" s="420"/>
      <c r="AN22" s="421"/>
      <c r="AO22" s="342"/>
      <c r="AQ22" s="331" t="s">
        <v>239</v>
      </c>
      <c r="AR22" s="801" t="s">
        <v>569</v>
      </c>
      <c r="AS22" s="332"/>
      <c r="AT22" s="378" t="s">
        <v>201</v>
      </c>
      <c r="AU22" s="589">
        <v>45147</v>
      </c>
      <c r="AW22" s="376"/>
      <c r="AX22" s="422"/>
      <c r="AY22" s="382"/>
      <c r="AZ22" s="386"/>
      <c r="BA22" s="696"/>
      <c r="BC22" s="376"/>
      <c r="BD22" s="457"/>
      <c r="BE22" s="382"/>
      <c r="BF22" s="386"/>
      <c r="BG22" s="342"/>
      <c r="BI22" s="333" t="s">
        <v>445</v>
      </c>
      <c r="BJ22" s="334" t="s">
        <v>202</v>
      </c>
      <c r="BK22" s="335" t="s">
        <v>203</v>
      </c>
      <c r="BL22" s="336" t="s">
        <v>204</v>
      </c>
      <c r="BM22" s="337" t="s">
        <v>205</v>
      </c>
      <c r="BO22" s="333" t="s">
        <v>445</v>
      </c>
      <c r="BP22" s="334" t="s">
        <v>202</v>
      </c>
      <c r="BQ22" s="335" t="s">
        <v>203</v>
      </c>
      <c r="BR22" s="336" t="s">
        <v>204</v>
      </c>
      <c r="BS22" s="337" t="s">
        <v>205</v>
      </c>
      <c r="BU22" s="333" t="s">
        <v>445</v>
      </c>
      <c r="BV22" s="334" t="s">
        <v>202</v>
      </c>
      <c r="BW22" s="335" t="s">
        <v>203</v>
      </c>
      <c r="BX22" s="336" t="s">
        <v>204</v>
      </c>
      <c r="BY22" s="337" t="s">
        <v>205</v>
      </c>
      <c r="CA22" s="333" t="s">
        <v>445</v>
      </c>
      <c r="CB22" s="334" t="s">
        <v>202</v>
      </c>
      <c r="CC22" s="335" t="s">
        <v>203</v>
      </c>
      <c r="CD22" s="336" t="s">
        <v>204</v>
      </c>
      <c r="CE22" s="337" t="s">
        <v>205</v>
      </c>
    </row>
    <row r="23" spans="1:83" ht="28.2" thickBot="1" x14ac:dyDescent="0.35">
      <c r="A23" s="363"/>
      <c r="B23" s="458" t="s">
        <v>723</v>
      </c>
      <c r="C23" s="382"/>
      <c r="D23" s="386"/>
      <c r="E23" s="342">
        <v>195.5</v>
      </c>
      <c r="G23" s="376"/>
      <c r="H23" s="457"/>
      <c r="I23" s="382"/>
      <c r="J23" s="386"/>
      <c r="K23" s="345"/>
      <c r="M23" s="742" t="s">
        <v>556</v>
      </c>
      <c r="N23" s="422" t="s">
        <v>654</v>
      </c>
      <c r="O23" s="382"/>
      <c r="P23" s="386">
        <v>37</v>
      </c>
      <c r="Q23" s="769">
        <v>957.1</v>
      </c>
      <c r="S23" s="338"/>
      <c r="T23" s="463"/>
      <c r="U23" s="420"/>
      <c r="V23" s="421"/>
      <c r="W23" s="342"/>
      <c r="Y23" s="352"/>
      <c r="Z23" s="788"/>
      <c r="AA23" s="892" t="s">
        <v>45</v>
      </c>
      <c r="AB23" s="892"/>
      <c r="AC23" s="385">
        <f>SUM(AC6:AC22)</f>
        <v>824.84</v>
      </c>
      <c r="AK23" s="338"/>
      <c r="AL23" s="463"/>
      <c r="AM23" s="420"/>
      <c r="AN23" s="421"/>
      <c r="AO23" s="342"/>
      <c r="AQ23" s="333" t="s">
        <v>445</v>
      </c>
      <c r="AR23" s="334" t="s">
        <v>202</v>
      </c>
      <c r="AS23" s="335" t="s">
        <v>203</v>
      </c>
      <c r="AT23" s="336" t="s">
        <v>204</v>
      </c>
      <c r="AU23" s="590" t="s">
        <v>205</v>
      </c>
      <c r="AW23" s="376"/>
      <c r="AX23" s="422"/>
      <c r="AY23" s="382"/>
      <c r="AZ23" s="386"/>
      <c r="BA23" s="696"/>
      <c r="BC23" s="376"/>
      <c r="BD23" s="458"/>
      <c r="BE23" s="382"/>
      <c r="BF23" s="386"/>
      <c r="BG23" s="342"/>
      <c r="BI23" s="834" t="s">
        <v>556</v>
      </c>
      <c r="BJ23" s="835" t="s">
        <v>684</v>
      </c>
      <c r="BK23" s="836"/>
      <c r="BL23" s="837">
        <v>20</v>
      </c>
      <c r="BM23" s="342">
        <v>498.18</v>
      </c>
      <c r="BO23" s="755" t="s">
        <v>556</v>
      </c>
      <c r="BP23" s="854" t="s">
        <v>611</v>
      </c>
      <c r="BQ23" s="855"/>
      <c r="BR23" s="856">
        <v>140</v>
      </c>
      <c r="BS23" s="342">
        <v>3435.74</v>
      </c>
      <c r="BU23" s="376"/>
      <c r="BV23" s="779"/>
      <c r="BW23" s="780"/>
      <c r="BX23" s="781"/>
      <c r="BY23" s="342"/>
      <c r="CA23" s="755"/>
      <c r="CB23" s="458"/>
      <c r="CC23" s="382"/>
      <c r="CD23" s="386"/>
      <c r="CE23" s="342"/>
    </row>
    <row r="24" spans="1:83" ht="25.2" thickBot="1" x14ac:dyDescent="0.35">
      <c r="A24" s="363"/>
      <c r="B24" s="422" t="s">
        <v>724</v>
      </c>
      <c r="C24" s="382"/>
      <c r="D24" s="386"/>
      <c r="E24" s="342">
        <v>391</v>
      </c>
      <c r="G24" s="376"/>
      <c r="H24" s="422"/>
      <c r="I24" s="382"/>
      <c r="J24" s="386"/>
      <c r="K24" s="345"/>
      <c r="M24" s="376"/>
      <c r="N24" s="457" t="s">
        <v>655</v>
      </c>
      <c r="O24" s="382"/>
      <c r="P24" s="386">
        <v>15</v>
      </c>
      <c r="Q24" s="769">
        <v>648.95000000000005</v>
      </c>
      <c r="S24" s="338"/>
      <c r="T24" s="463"/>
      <c r="U24" s="420"/>
      <c r="V24" s="421"/>
      <c r="W24" s="342"/>
      <c r="Y24" s="897"/>
      <c r="Z24" s="897"/>
      <c r="AA24" s="539"/>
      <c r="AB24" s="522"/>
      <c r="AC24" s="523"/>
      <c r="AE24" s="890" t="s">
        <v>138</v>
      </c>
      <c r="AF24" s="896"/>
      <c r="AG24" s="322"/>
      <c r="AH24" s="383" t="s">
        <v>199</v>
      </c>
      <c r="AI24" s="384">
        <v>2023</v>
      </c>
      <c r="AK24" s="338"/>
      <c r="AL24" s="463"/>
      <c r="AM24" s="420"/>
      <c r="AN24" s="421"/>
      <c r="AO24" s="342"/>
      <c r="AQ24" s="376"/>
      <c r="AR24" s="457" t="s">
        <v>646</v>
      </c>
      <c r="AS24" s="382"/>
      <c r="AT24" s="386">
        <v>9</v>
      </c>
      <c r="AU24" s="591">
        <v>389.37</v>
      </c>
      <c r="AW24" s="376"/>
      <c r="AX24" s="422"/>
      <c r="AY24" s="382"/>
      <c r="AZ24" s="386"/>
      <c r="BA24" s="696"/>
      <c r="BC24" s="376"/>
      <c r="BD24" s="457"/>
      <c r="BE24" s="382"/>
      <c r="BF24" s="386"/>
      <c r="BG24" s="342"/>
      <c r="BI24" s="834"/>
      <c r="BJ24" s="838" t="s">
        <v>685</v>
      </c>
      <c r="BK24" s="836"/>
      <c r="BL24" s="837">
        <v>11</v>
      </c>
      <c r="BM24" s="342">
        <v>274</v>
      </c>
      <c r="BO24" s="755"/>
      <c r="BP24" s="857" t="s">
        <v>649</v>
      </c>
      <c r="BQ24" s="855"/>
      <c r="BR24" s="856">
        <v>10</v>
      </c>
      <c r="BS24" s="342">
        <v>457.82</v>
      </c>
      <c r="BU24" s="376"/>
      <c r="BV24" s="782"/>
      <c r="BW24" s="780"/>
      <c r="BX24" s="781"/>
      <c r="BY24" s="342"/>
      <c r="CA24" s="755"/>
      <c r="CB24" s="457" t="s">
        <v>556</v>
      </c>
      <c r="CC24" s="382"/>
      <c r="CD24" s="386" t="s">
        <v>556</v>
      </c>
      <c r="CE24" s="342"/>
    </row>
    <row r="25" spans="1:83" x14ac:dyDescent="0.3">
      <c r="A25" s="363"/>
      <c r="B25" s="458"/>
      <c r="C25" s="382"/>
      <c r="D25" s="386"/>
      <c r="E25" s="342"/>
      <c r="G25" s="376"/>
      <c r="H25" s="457"/>
      <c r="I25" s="382"/>
      <c r="J25" s="386"/>
      <c r="K25" s="345"/>
      <c r="M25" s="338"/>
      <c r="N25" s="457" t="s">
        <v>677</v>
      </c>
      <c r="O25" s="382"/>
      <c r="P25" s="386">
        <v>4</v>
      </c>
      <c r="Q25" s="769">
        <v>116.2</v>
      </c>
      <c r="S25" s="338"/>
      <c r="T25" s="463"/>
      <c r="U25" s="420"/>
      <c r="V25" s="421"/>
      <c r="W25" s="342"/>
      <c r="Y25" s="890" t="s">
        <v>481</v>
      </c>
      <c r="Z25" s="896"/>
      <c r="AA25" s="322"/>
      <c r="AB25" s="383" t="s">
        <v>199</v>
      </c>
      <c r="AC25" s="384">
        <v>2023</v>
      </c>
      <c r="AE25" s="325" t="s">
        <v>137</v>
      </c>
      <c r="AF25" s="326"/>
      <c r="AG25" s="327"/>
      <c r="AH25" s="378" t="s">
        <v>12</v>
      </c>
      <c r="AI25" s="379">
        <v>11</v>
      </c>
      <c r="AK25" s="464"/>
      <c r="AL25" s="463"/>
      <c r="AM25" s="465"/>
      <c r="AN25" s="466"/>
      <c r="AO25" s="467"/>
      <c r="AQ25" s="376"/>
      <c r="AR25" s="458" t="s">
        <v>647</v>
      </c>
      <c r="AS25" s="382"/>
      <c r="AT25" s="386">
        <v>9</v>
      </c>
      <c r="AU25" s="591">
        <v>319.3</v>
      </c>
      <c r="AW25" s="376"/>
      <c r="AX25" s="422"/>
      <c r="AY25" s="382"/>
      <c r="AZ25" s="386"/>
      <c r="BA25" s="696"/>
      <c r="BC25" s="376"/>
      <c r="BD25" s="457"/>
      <c r="BE25" s="382"/>
      <c r="BF25" s="386"/>
      <c r="BG25" s="342"/>
      <c r="BI25" s="376"/>
      <c r="BJ25" s="838" t="s">
        <v>657</v>
      </c>
      <c r="BK25" s="836"/>
      <c r="BL25" s="837">
        <v>6</v>
      </c>
      <c r="BM25" s="342">
        <v>567.64</v>
      </c>
      <c r="BO25" s="755"/>
      <c r="BP25" s="857" t="s">
        <v>650</v>
      </c>
      <c r="BQ25" s="855"/>
      <c r="BR25" s="856"/>
      <c r="BS25" s="342"/>
      <c r="BU25" s="376"/>
      <c r="BV25" s="782"/>
      <c r="BW25" s="780"/>
      <c r="BX25" s="781"/>
      <c r="BY25" s="342"/>
      <c r="CA25" s="755"/>
      <c r="CB25" s="457"/>
      <c r="CC25" s="382"/>
      <c r="CD25" s="386"/>
      <c r="CE25" s="342"/>
    </row>
    <row r="26" spans="1:83" ht="15" thickBot="1" x14ac:dyDescent="0.35">
      <c r="A26" s="363"/>
      <c r="B26" s="422"/>
      <c r="C26" s="382"/>
      <c r="D26" s="386"/>
      <c r="E26" s="342"/>
      <c r="G26" s="606"/>
      <c r="H26" s="607"/>
      <c r="I26" s="608"/>
      <c r="J26" s="609"/>
      <c r="K26" s="605"/>
      <c r="M26" s="338"/>
      <c r="N26" s="458" t="s">
        <v>678</v>
      </c>
      <c r="O26" s="382"/>
      <c r="P26" s="386">
        <v>13</v>
      </c>
      <c r="Q26" s="769">
        <v>461.21</v>
      </c>
      <c r="S26" s="338"/>
      <c r="T26" s="463"/>
      <c r="U26" s="420"/>
      <c r="V26" s="421"/>
      <c r="W26" s="342"/>
      <c r="Y26" s="613"/>
      <c r="Z26" s="597"/>
      <c r="AA26" s="329"/>
      <c r="AB26" s="614"/>
      <c r="AC26" s="615" t="s">
        <v>556</v>
      </c>
      <c r="AE26" s="328"/>
      <c r="AF26" s="329"/>
      <c r="AG26" s="381"/>
      <c r="AH26" s="378" t="s">
        <v>200</v>
      </c>
      <c r="AI26" s="695">
        <v>2</v>
      </c>
      <c r="AK26" s="464"/>
      <c r="AL26" s="463"/>
      <c r="AM26" s="616"/>
      <c r="AN26" s="617"/>
      <c r="AO26" s="618"/>
      <c r="AQ26" s="376"/>
      <c r="AR26" s="458" t="s">
        <v>648</v>
      </c>
      <c r="AS26" s="382"/>
      <c r="AT26" s="386">
        <v>19</v>
      </c>
      <c r="AU26" s="591">
        <v>461.69</v>
      </c>
      <c r="AW26" s="376"/>
      <c r="AX26" s="422"/>
      <c r="AY26" s="382"/>
      <c r="AZ26" s="386"/>
      <c r="BA26" s="696"/>
      <c r="BC26" s="376"/>
      <c r="BD26" s="457"/>
      <c r="BE26" s="382"/>
      <c r="BF26" s="386"/>
      <c r="BG26" s="342"/>
      <c r="BI26" s="376"/>
      <c r="BJ26" s="458" t="s">
        <v>556</v>
      </c>
      <c r="BK26" s="382"/>
      <c r="BL26" s="386" t="s">
        <v>556</v>
      </c>
      <c r="BM26" s="342" t="s">
        <v>556</v>
      </c>
      <c r="BO26" s="755" t="s">
        <v>556</v>
      </c>
      <c r="BP26" s="858" t="s">
        <v>651</v>
      </c>
      <c r="BQ26" s="855"/>
      <c r="BR26" s="856">
        <v>35</v>
      </c>
      <c r="BS26" s="342">
        <v>1241.71</v>
      </c>
      <c r="BU26" s="376"/>
      <c r="BV26" s="783"/>
      <c r="BW26" s="780"/>
      <c r="BX26" s="781"/>
      <c r="BY26" s="342"/>
      <c r="CA26" s="755" t="s">
        <v>556</v>
      </c>
      <c r="CB26" s="457" t="s">
        <v>556</v>
      </c>
      <c r="CC26" s="382"/>
      <c r="CD26" s="386"/>
      <c r="CE26" s="342"/>
    </row>
    <row r="27" spans="1:83" ht="22.05" customHeight="1" thickBot="1" x14ac:dyDescent="0.35">
      <c r="A27" s="363"/>
      <c r="B27" s="458"/>
      <c r="C27" s="382"/>
      <c r="D27" s="386"/>
      <c r="E27" s="342"/>
      <c r="G27" s="352"/>
      <c r="H27" s="505"/>
      <c r="I27" s="505"/>
      <c r="J27" s="505" t="s">
        <v>45</v>
      </c>
      <c r="K27" s="385">
        <f>SUM(K6:K25)</f>
        <v>328.61</v>
      </c>
      <c r="M27" s="338"/>
      <c r="N27" s="457" t="s">
        <v>679</v>
      </c>
      <c r="O27" s="382"/>
      <c r="P27" s="386">
        <v>17</v>
      </c>
      <c r="Q27" s="769">
        <v>436.75</v>
      </c>
      <c r="S27" s="338"/>
      <c r="T27" s="463"/>
      <c r="U27" s="420"/>
      <c r="V27" s="421"/>
      <c r="W27" s="342"/>
      <c r="Y27" s="325" t="s">
        <v>140</v>
      </c>
      <c r="Z27" s="326"/>
      <c r="AA27" s="327"/>
      <c r="AB27" s="378" t="s">
        <v>12</v>
      </c>
      <c r="AC27" s="379">
        <v>11</v>
      </c>
      <c r="AE27" s="331" t="s">
        <v>239</v>
      </c>
      <c r="AF27" s="862" t="s">
        <v>610</v>
      </c>
      <c r="AG27" s="332"/>
      <c r="AH27" s="378" t="s">
        <v>201</v>
      </c>
      <c r="AI27" s="380">
        <v>45147</v>
      </c>
      <c r="AK27" s="468"/>
      <c r="AL27" s="471"/>
      <c r="AM27" s="469"/>
      <c r="AN27" s="472"/>
      <c r="AO27" s="470"/>
      <c r="AQ27" s="338"/>
      <c r="AR27" s="463" t="s">
        <v>556</v>
      </c>
      <c r="AS27" s="420"/>
      <c r="AT27" s="421"/>
      <c r="AU27" s="591"/>
      <c r="AW27" s="376"/>
      <c r="AX27" s="422"/>
      <c r="AY27" s="382"/>
      <c r="AZ27" s="386"/>
      <c r="BA27" s="696"/>
      <c r="BC27" s="376"/>
      <c r="BD27" s="457"/>
      <c r="BE27" s="382"/>
      <c r="BF27" s="386"/>
      <c r="BG27" s="342"/>
      <c r="BI27" s="376"/>
      <c r="BJ27" s="457"/>
      <c r="BK27" s="382"/>
      <c r="BL27" s="386"/>
      <c r="BM27" s="703"/>
      <c r="BO27" s="755"/>
      <c r="BP27" s="857" t="s">
        <v>652</v>
      </c>
      <c r="BQ27" s="855"/>
      <c r="BR27" s="856">
        <v>25</v>
      </c>
      <c r="BS27" s="342">
        <v>636.53</v>
      </c>
      <c r="BU27" s="376"/>
      <c r="BV27" s="782"/>
      <c r="BW27" s="780"/>
      <c r="BX27" s="781"/>
      <c r="BY27" s="703"/>
      <c r="CA27" s="755"/>
      <c r="CB27" s="457" t="s">
        <v>556</v>
      </c>
      <c r="CC27" s="382"/>
      <c r="CD27" s="386" t="s">
        <v>556</v>
      </c>
      <c r="CE27" s="703"/>
    </row>
    <row r="28" spans="1:83" ht="28.2" thickBot="1" x14ac:dyDescent="0.35">
      <c r="A28" s="352"/>
      <c r="B28" s="505"/>
      <c r="C28" s="892" t="s">
        <v>45</v>
      </c>
      <c r="D28" s="892"/>
      <c r="E28" s="385">
        <f>SUM(E22:E27)</f>
        <v>911.5</v>
      </c>
      <c r="G28" s="505"/>
      <c r="H28" s="505"/>
      <c r="I28" s="505"/>
      <c r="J28" s="505"/>
      <c r="K28" s="373"/>
      <c r="M28" s="352"/>
      <c r="N28" s="455"/>
      <c r="O28" s="892" t="s">
        <v>45</v>
      </c>
      <c r="P28" s="892"/>
      <c r="Q28" s="385">
        <f>SUM(Q23:Q27)</f>
        <v>2620.21</v>
      </c>
      <c r="S28" s="338"/>
      <c r="T28" s="463"/>
      <c r="U28" s="420"/>
      <c r="V28" s="421"/>
      <c r="W28" s="342"/>
      <c r="Y28" s="328"/>
      <c r="Z28" s="329"/>
      <c r="AA28" s="381"/>
      <c r="AB28" s="378" t="s">
        <v>200</v>
      </c>
      <c r="AC28" s="379">
        <v>2</v>
      </c>
      <c r="AE28" s="333" t="s">
        <v>445</v>
      </c>
      <c r="AF28" s="334" t="s">
        <v>202</v>
      </c>
      <c r="AG28" s="335" t="s">
        <v>203</v>
      </c>
      <c r="AH28" s="336" t="s">
        <v>204</v>
      </c>
      <c r="AI28" s="337" t="s">
        <v>205</v>
      </c>
      <c r="AK28" s="352"/>
      <c r="AL28" s="459"/>
      <c r="AM28" s="892" t="s">
        <v>45</v>
      </c>
      <c r="AN28" s="892"/>
      <c r="AO28" s="385">
        <f>SUM(AO6:AO25)</f>
        <v>619.58000000000004</v>
      </c>
      <c r="AQ28" s="352"/>
      <c r="AR28" s="595"/>
      <c r="AS28" s="892" t="s">
        <v>45</v>
      </c>
      <c r="AT28" s="892"/>
      <c r="AU28" s="592">
        <f>SUM(AU24:AU27)</f>
        <v>1170.3600000000001</v>
      </c>
      <c r="AW28" s="376"/>
      <c r="AX28" s="422" t="s">
        <v>556</v>
      </c>
      <c r="AY28" s="382"/>
      <c r="AZ28" s="386" t="s">
        <v>45</v>
      </c>
      <c r="BA28" s="697">
        <f>SUM(BA6:BA27)</f>
        <v>945.3</v>
      </c>
      <c r="BC28" s="376"/>
      <c r="BD28" s="457"/>
      <c r="BE28" s="382"/>
      <c r="BF28" s="386"/>
      <c r="BG28" s="342"/>
      <c r="BI28" s="376"/>
      <c r="BJ28" s="457"/>
      <c r="BK28" s="382"/>
      <c r="BL28" s="386"/>
      <c r="BM28" s="709"/>
      <c r="BO28" s="755"/>
      <c r="BP28" s="457" t="s">
        <v>704</v>
      </c>
      <c r="BQ28" s="382"/>
      <c r="BR28" s="856">
        <v>1</v>
      </c>
      <c r="BS28" s="703">
        <v>74.77</v>
      </c>
      <c r="BU28" s="376"/>
      <c r="BV28" s="782"/>
      <c r="BW28" s="780"/>
      <c r="BX28" s="781"/>
      <c r="BY28" s="709"/>
      <c r="CA28" s="755"/>
      <c r="CB28" s="457"/>
      <c r="CC28" s="382"/>
      <c r="CD28" s="386"/>
      <c r="CE28" s="709"/>
    </row>
    <row r="29" spans="1:83" ht="27" thickBot="1" x14ac:dyDescent="0.35">
      <c r="A29" s="890" t="s">
        <v>145</v>
      </c>
      <c r="B29" s="891"/>
      <c r="C29" s="322"/>
      <c r="D29" s="383" t="s">
        <v>199</v>
      </c>
      <c r="E29" s="384">
        <v>2023</v>
      </c>
      <c r="G29" s="890" t="s">
        <v>171</v>
      </c>
      <c r="H29" s="891"/>
      <c r="I29" s="322"/>
      <c r="J29" s="217" t="s">
        <v>199</v>
      </c>
      <c r="K29" s="218">
        <v>2023</v>
      </c>
      <c r="S29" s="338"/>
      <c r="T29" s="463"/>
      <c r="U29" s="420"/>
      <c r="V29" s="421"/>
      <c r="W29" s="342"/>
      <c r="Y29" s="507" t="s">
        <v>239</v>
      </c>
      <c r="Z29" s="775" t="s">
        <v>666</v>
      </c>
      <c r="AA29" s="509"/>
      <c r="AB29" s="378" t="s">
        <v>201</v>
      </c>
      <c r="AC29" s="380">
        <v>45147</v>
      </c>
      <c r="AE29" s="376" t="s">
        <v>556</v>
      </c>
      <c r="AF29" s="838" t="s">
        <v>687</v>
      </c>
      <c r="AG29" s="836" t="s">
        <v>688</v>
      </c>
      <c r="AH29" s="837">
        <v>2</v>
      </c>
      <c r="AI29" s="342">
        <v>49.08</v>
      </c>
      <c r="AU29" s="593"/>
      <c r="BC29" s="376"/>
      <c r="BD29" s="457"/>
      <c r="BE29" s="382"/>
      <c r="BF29" s="386"/>
      <c r="BG29" s="342"/>
      <c r="BI29" s="376"/>
      <c r="BJ29" s="457"/>
      <c r="BK29" s="382"/>
      <c r="BL29" s="386"/>
      <c r="BM29" s="710"/>
      <c r="BO29" s="755"/>
      <c r="BP29" s="457" t="s">
        <v>525</v>
      </c>
      <c r="BQ29" s="382"/>
      <c r="BR29" s="386">
        <v>10800</v>
      </c>
      <c r="BS29" s="710">
        <v>2103.9499999999998</v>
      </c>
      <c r="BU29" s="376"/>
      <c r="BV29" s="782"/>
      <c r="BW29" s="780"/>
      <c r="BX29" s="781"/>
      <c r="BY29" s="710"/>
      <c r="CA29" s="755"/>
      <c r="CB29" s="457"/>
      <c r="CC29" s="382"/>
      <c r="CD29" s="386"/>
      <c r="CE29" s="708"/>
    </row>
    <row r="30" spans="1:83" ht="27" thickBot="1" x14ac:dyDescent="0.35">
      <c r="A30" s="325" t="s">
        <v>146</v>
      </c>
      <c r="B30" s="326"/>
      <c r="C30" s="327"/>
      <c r="D30" s="378" t="s">
        <v>12</v>
      </c>
      <c r="E30" s="379">
        <v>11</v>
      </c>
      <c r="G30" s="325" t="s">
        <v>152</v>
      </c>
      <c r="H30" s="326"/>
      <c r="I30" s="327"/>
      <c r="J30" s="219" t="s">
        <v>12</v>
      </c>
      <c r="K30" s="220">
        <v>11</v>
      </c>
      <c r="M30" s="890" t="s">
        <v>452</v>
      </c>
      <c r="N30" s="891"/>
      <c r="O30" s="322"/>
      <c r="P30" s="383" t="s">
        <v>199</v>
      </c>
      <c r="Q30" s="384">
        <v>2023</v>
      </c>
      <c r="S30" s="338"/>
      <c r="T30" s="463"/>
      <c r="U30" s="420"/>
      <c r="V30" s="421"/>
      <c r="W30" s="342"/>
      <c r="Y30" s="510" t="s">
        <v>479</v>
      </c>
      <c r="Z30" s="511" t="s">
        <v>556</v>
      </c>
      <c r="AA30" s="509"/>
      <c r="AB30" s="509"/>
      <c r="AC30" s="512"/>
      <c r="AE30" s="376"/>
      <c r="AF30" s="838" t="s">
        <v>689</v>
      </c>
      <c r="AG30" s="836" t="s">
        <v>688</v>
      </c>
      <c r="AH30" s="837">
        <v>1</v>
      </c>
      <c r="AI30" s="342">
        <v>30.43</v>
      </c>
      <c r="AK30" s="890" t="s">
        <v>592</v>
      </c>
      <c r="AL30" s="891"/>
      <c r="AM30" s="322"/>
      <c r="AN30" s="383" t="s">
        <v>199</v>
      </c>
      <c r="AO30" s="587">
        <v>2023</v>
      </c>
      <c r="AU30" s="593"/>
      <c r="AW30" s="890" t="s">
        <v>126</v>
      </c>
      <c r="AX30" s="891"/>
      <c r="AY30" s="322"/>
      <c r="AZ30" s="383" t="s">
        <v>199</v>
      </c>
      <c r="BA30" s="587">
        <v>2023</v>
      </c>
      <c r="BC30" s="376"/>
      <c r="BD30" s="457"/>
      <c r="BE30" s="382"/>
      <c r="BF30" s="386"/>
      <c r="BG30" s="342"/>
      <c r="BI30" s="376"/>
      <c r="BJ30" s="457"/>
      <c r="BK30" s="382"/>
      <c r="BL30" s="386"/>
      <c r="BM30" s="708"/>
      <c r="BO30" s="376"/>
      <c r="BP30" s="457"/>
      <c r="BQ30" s="382"/>
      <c r="BR30" s="386"/>
      <c r="BS30" s="708"/>
      <c r="BU30" s="376"/>
      <c r="BV30" s="782"/>
      <c r="BW30" s="780"/>
      <c r="BX30" s="781"/>
      <c r="BY30" s="708"/>
      <c r="CA30" s="376"/>
      <c r="CB30" s="457"/>
      <c r="CC30" s="382"/>
      <c r="CD30" s="386"/>
      <c r="CE30" s="708"/>
    </row>
    <row r="31" spans="1:83" ht="27" thickBot="1" x14ac:dyDescent="0.35">
      <c r="A31" s="328"/>
      <c r="B31" s="329"/>
      <c r="C31" s="381"/>
      <c r="D31" s="378" t="s">
        <v>200</v>
      </c>
      <c r="E31" s="379">
        <v>3</v>
      </c>
      <c r="G31" s="328"/>
      <c r="H31" s="329"/>
      <c r="I31" s="330"/>
      <c r="J31" s="219" t="s">
        <v>200</v>
      </c>
      <c r="K31" s="220">
        <v>2</v>
      </c>
      <c r="M31" s="325" t="s">
        <v>161</v>
      </c>
      <c r="N31" s="326"/>
      <c r="O31" s="327"/>
      <c r="P31" s="378" t="s">
        <v>12</v>
      </c>
      <c r="Q31" s="379">
        <v>11</v>
      </c>
      <c r="S31" s="338"/>
      <c r="T31" s="463"/>
      <c r="U31" s="420"/>
      <c r="V31" s="421"/>
      <c r="W31" s="342"/>
      <c r="Y31" s="513"/>
      <c r="Z31" s="514"/>
      <c r="AA31" s="509"/>
      <c r="AB31" s="509"/>
      <c r="AC31" s="512"/>
      <c r="AE31" s="376"/>
      <c r="AF31" s="838" t="s">
        <v>690</v>
      </c>
      <c r="AG31" s="836" t="s">
        <v>688</v>
      </c>
      <c r="AH31" s="837">
        <v>1</v>
      </c>
      <c r="AI31" s="342">
        <v>27.8</v>
      </c>
      <c r="AK31" s="325" t="s">
        <v>159</v>
      </c>
      <c r="AL31" s="326"/>
      <c r="AM31" s="327"/>
      <c r="AN31" s="378" t="s">
        <v>12</v>
      </c>
      <c r="AO31" s="588">
        <v>11</v>
      </c>
      <c r="AQ31" s="890" t="s">
        <v>169</v>
      </c>
      <c r="AR31" s="891"/>
      <c r="AS31" s="322"/>
      <c r="AT31" s="383" t="s">
        <v>199</v>
      </c>
      <c r="AU31" s="587">
        <v>2023</v>
      </c>
      <c r="AW31" s="325" t="s">
        <v>155</v>
      </c>
      <c r="AX31" s="326"/>
      <c r="AY31" s="327"/>
      <c r="AZ31" s="378" t="s">
        <v>12</v>
      </c>
      <c r="BA31" s="588">
        <v>11</v>
      </c>
      <c r="BC31" s="376"/>
      <c r="BD31" s="457"/>
      <c r="BE31" s="382"/>
      <c r="BF31" s="386"/>
      <c r="BG31" s="342"/>
      <c r="BI31" s="705"/>
      <c r="BJ31" s="706"/>
      <c r="BK31" s="707"/>
      <c r="BL31" s="704"/>
      <c r="BM31" s="708"/>
      <c r="BO31" s="705"/>
      <c r="BP31" s="863"/>
      <c r="BQ31" s="707"/>
      <c r="BR31" s="805"/>
      <c r="BS31" s="708"/>
      <c r="BU31" s="705"/>
      <c r="BV31" s="706"/>
      <c r="BW31" s="707"/>
      <c r="BX31" s="704"/>
      <c r="BY31" s="708"/>
      <c r="CA31" s="705"/>
      <c r="CB31" s="706"/>
      <c r="CC31" s="707"/>
      <c r="CD31" s="704"/>
      <c r="CE31" s="708"/>
    </row>
    <row r="32" spans="1:83" ht="40.200000000000003" thickBot="1" x14ac:dyDescent="0.35">
      <c r="A32" s="331" t="s">
        <v>239</v>
      </c>
      <c r="B32" s="514" t="s">
        <v>631</v>
      </c>
      <c r="C32" s="332"/>
      <c r="D32" s="378" t="s">
        <v>201</v>
      </c>
      <c r="E32" s="380">
        <v>45154</v>
      </c>
      <c r="G32" s="358" t="s">
        <v>239</v>
      </c>
      <c r="H32" s="508" t="s">
        <v>525</v>
      </c>
      <c r="I32" s="332"/>
      <c r="J32" s="219" t="s">
        <v>201</v>
      </c>
      <c r="K32" s="221">
        <v>45147</v>
      </c>
      <c r="M32" s="328"/>
      <c r="N32" s="329"/>
      <c r="O32" s="381"/>
      <c r="P32" s="378" t="s">
        <v>200</v>
      </c>
      <c r="Q32" s="379">
        <v>3</v>
      </c>
      <c r="S32" s="338"/>
      <c r="T32" s="463"/>
      <c r="U32" s="420"/>
      <c r="V32" s="421"/>
      <c r="W32" s="342"/>
      <c r="Y32" s="515" t="s">
        <v>480</v>
      </c>
      <c r="Z32" s="516" t="s">
        <v>202</v>
      </c>
      <c r="AA32" s="517" t="s">
        <v>203</v>
      </c>
      <c r="AB32" s="518" t="s">
        <v>204</v>
      </c>
      <c r="AC32" s="519" t="s">
        <v>205</v>
      </c>
      <c r="AE32" s="376"/>
      <c r="AF32" s="838" t="s">
        <v>692</v>
      </c>
      <c r="AG32" s="836" t="s">
        <v>688</v>
      </c>
      <c r="AH32" s="837">
        <v>1</v>
      </c>
      <c r="AI32" s="342">
        <v>11.78</v>
      </c>
      <c r="AK32" s="325"/>
      <c r="AL32" s="326"/>
      <c r="AM32" s="327"/>
      <c r="AN32" s="378"/>
      <c r="AO32" s="588"/>
      <c r="AQ32" s="325" t="s">
        <v>148</v>
      </c>
      <c r="AR32" s="326"/>
      <c r="AS32" s="327"/>
      <c r="AT32" s="378" t="s">
        <v>12</v>
      </c>
      <c r="AU32" s="588">
        <v>11</v>
      </c>
      <c r="AW32" s="328"/>
      <c r="AX32" s="329"/>
      <c r="AY32" s="381"/>
      <c r="AZ32" s="378" t="s">
        <v>200</v>
      </c>
      <c r="BA32" s="588">
        <v>2</v>
      </c>
      <c r="BC32" s="338"/>
      <c r="BD32" s="610"/>
      <c r="BE32" s="612"/>
      <c r="BF32" s="421"/>
      <c r="BG32" s="342"/>
      <c r="BI32" s="711"/>
      <c r="BJ32" s="712"/>
      <c r="BK32" s="713"/>
      <c r="BL32" s="714"/>
      <c r="BM32" s="715"/>
      <c r="BO32" s="711"/>
      <c r="BP32" s="864"/>
      <c r="BQ32" s="713"/>
      <c r="BR32" s="806"/>
      <c r="BS32" s="715"/>
      <c r="BU32" s="711"/>
      <c r="BV32" s="712"/>
      <c r="BW32" s="713"/>
      <c r="BX32" s="714"/>
      <c r="BY32" s="715"/>
      <c r="CA32" s="711"/>
      <c r="CB32" s="712"/>
      <c r="CC32" s="713"/>
      <c r="CD32" s="714"/>
      <c r="CE32" s="715"/>
    </row>
    <row r="33" spans="1:83" ht="42" thickBot="1" x14ac:dyDescent="0.35">
      <c r="A33" s="333" t="s">
        <v>445</v>
      </c>
      <c r="B33" s="334" t="s">
        <v>202</v>
      </c>
      <c r="C33" s="335" t="s">
        <v>203</v>
      </c>
      <c r="D33" s="336" t="s">
        <v>204</v>
      </c>
      <c r="E33" s="337" t="s">
        <v>205</v>
      </c>
      <c r="G33" s="333" t="s">
        <v>445</v>
      </c>
      <c r="H33" s="334" t="s">
        <v>202</v>
      </c>
      <c r="I33" s="335" t="s">
        <v>203</v>
      </c>
      <c r="J33" s="336" t="s">
        <v>204</v>
      </c>
      <c r="K33" s="337" t="s">
        <v>205</v>
      </c>
      <c r="M33" s="331" t="s">
        <v>239</v>
      </c>
      <c r="N33" s="508" t="s">
        <v>627</v>
      </c>
      <c r="O33" s="332"/>
      <c r="P33" s="378" t="s">
        <v>201</v>
      </c>
      <c r="Q33" s="380">
        <v>45154</v>
      </c>
      <c r="S33" s="338"/>
      <c r="T33" s="463"/>
      <c r="U33" s="420"/>
      <c r="V33" s="421"/>
      <c r="W33" s="342"/>
      <c r="Y33" s="376"/>
      <c r="Z33" s="422" t="s">
        <v>717</v>
      </c>
      <c r="AA33" s="382"/>
      <c r="AB33" s="386"/>
      <c r="AC33" s="769">
        <v>127.65</v>
      </c>
      <c r="AE33" s="376"/>
      <c r="AF33" s="457"/>
      <c r="AG33" s="382"/>
      <c r="AH33" s="837"/>
      <c r="AI33" s="342"/>
      <c r="AK33" s="328"/>
      <c r="AL33" s="329"/>
      <c r="AM33" s="381"/>
      <c r="AN33" s="378" t="s">
        <v>200</v>
      </c>
      <c r="AO33" s="588">
        <v>2</v>
      </c>
      <c r="AQ33" s="328"/>
      <c r="AR33" s="329"/>
      <c r="AS33" s="381"/>
      <c r="AT33" s="378" t="s">
        <v>200</v>
      </c>
      <c r="AU33" s="588">
        <v>3</v>
      </c>
      <c r="AW33" s="331" t="s">
        <v>239</v>
      </c>
      <c r="AX33" s="508" t="s">
        <v>573</v>
      </c>
      <c r="AY33" s="332"/>
      <c r="AZ33" s="378" t="s">
        <v>201</v>
      </c>
      <c r="BA33" s="589">
        <v>45147</v>
      </c>
      <c r="BC33" s="352"/>
      <c r="BD33" s="632"/>
      <c r="BE33" s="892" t="s">
        <v>45</v>
      </c>
      <c r="BF33" s="892"/>
      <c r="BG33" s="385">
        <f>SUM(BG20:BG32)</f>
        <v>0</v>
      </c>
      <c r="BI33" s="716"/>
      <c r="BJ33" s="717"/>
      <c r="BK33" s="718"/>
      <c r="BL33" s="720" t="s">
        <v>16</v>
      </c>
      <c r="BM33" s="719">
        <f>SUM(BM23:BM32)</f>
        <v>1339.8200000000002</v>
      </c>
      <c r="BO33" s="716"/>
      <c r="BP33" s="717"/>
      <c r="BQ33" s="718"/>
      <c r="BR33" s="720" t="s">
        <v>16</v>
      </c>
      <c r="BS33" s="719">
        <f>SUM(BS23:BS32)</f>
        <v>7950.52</v>
      </c>
      <c r="BU33" s="716"/>
      <c r="BV33" s="717"/>
      <c r="BW33" s="718"/>
      <c r="BX33" s="720" t="s">
        <v>16</v>
      </c>
      <c r="BY33" s="719">
        <f>SUM(BY23:BY32)</f>
        <v>0</v>
      </c>
      <c r="CA33" s="716"/>
      <c r="CB33" s="717"/>
      <c r="CC33" s="718"/>
      <c r="CD33" s="720" t="s">
        <v>16</v>
      </c>
      <c r="CE33" s="719">
        <f>SUM(CE23:CE32)</f>
        <v>0</v>
      </c>
    </row>
    <row r="34" spans="1:83" ht="28.2" thickBot="1" x14ac:dyDescent="0.35">
      <c r="A34" s="376"/>
      <c r="B34" s="422" t="s">
        <v>726</v>
      </c>
      <c r="C34" s="382"/>
      <c r="D34" s="386"/>
      <c r="E34" s="342">
        <v>195.5</v>
      </c>
      <c r="G34" s="365">
        <v>46236</v>
      </c>
      <c r="H34" s="422" t="s">
        <v>447</v>
      </c>
      <c r="I34" s="382"/>
      <c r="J34" s="386">
        <v>120</v>
      </c>
      <c r="K34" s="345">
        <v>23.52</v>
      </c>
      <c r="M34" s="333" t="s">
        <v>445</v>
      </c>
      <c r="N34" s="334" t="s">
        <v>202</v>
      </c>
      <c r="O34" s="335" t="s">
        <v>203</v>
      </c>
      <c r="P34" s="336" t="s">
        <v>204</v>
      </c>
      <c r="Q34" s="337" t="s">
        <v>205</v>
      </c>
      <c r="S34" s="338"/>
      <c r="T34" s="463"/>
      <c r="U34" s="420"/>
      <c r="V34" s="421"/>
      <c r="W34" s="342"/>
      <c r="Y34" s="376"/>
      <c r="Z34" s="457"/>
      <c r="AA34" s="382"/>
      <c r="AB34" s="386"/>
      <c r="AC34" s="769"/>
      <c r="AE34" s="376"/>
      <c r="AF34" s="422"/>
      <c r="AG34" s="382"/>
      <c r="AH34" s="837"/>
      <c r="AI34" s="342"/>
      <c r="AK34" s="331" t="s">
        <v>239</v>
      </c>
      <c r="AL34" s="802" t="s">
        <v>621</v>
      </c>
      <c r="AM34" s="332"/>
      <c r="AN34" s="378" t="s">
        <v>201</v>
      </c>
      <c r="AO34" s="589">
        <v>45147</v>
      </c>
      <c r="AQ34" s="331" t="s">
        <v>239</v>
      </c>
      <c r="AR34" s="801" t="s">
        <v>569</v>
      </c>
      <c r="AS34" s="332"/>
      <c r="AT34" s="378" t="s">
        <v>201</v>
      </c>
      <c r="AU34" s="589">
        <v>45154</v>
      </c>
      <c r="AW34" s="333" t="s">
        <v>445</v>
      </c>
      <c r="AX34" s="334" t="s">
        <v>202</v>
      </c>
      <c r="AY34" s="335" t="s">
        <v>203</v>
      </c>
      <c r="AZ34" s="336" t="s">
        <v>204</v>
      </c>
      <c r="BA34" s="590" t="s">
        <v>205</v>
      </c>
    </row>
    <row r="35" spans="1:83" ht="27.9" customHeight="1" thickBot="1" x14ac:dyDescent="0.35">
      <c r="A35" s="376"/>
      <c r="B35" s="458" t="s">
        <v>727</v>
      </c>
      <c r="C35" s="382"/>
      <c r="D35" s="386"/>
      <c r="E35" s="342">
        <v>97.75</v>
      </c>
      <c r="G35" s="365">
        <v>46236</v>
      </c>
      <c r="H35" s="457" t="s">
        <v>448</v>
      </c>
      <c r="I35" s="382"/>
      <c r="J35" s="386">
        <v>120</v>
      </c>
      <c r="K35" s="345">
        <v>23.52</v>
      </c>
      <c r="M35" s="376" t="s">
        <v>556</v>
      </c>
      <c r="N35" s="422" t="s">
        <v>654</v>
      </c>
      <c r="O35" s="382"/>
      <c r="P35" s="386">
        <v>32</v>
      </c>
      <c r="Q35" s="769">
        <v>785.31</v>
      </c>
      <c r="S35" s="338"/>
      <c r="T35" s="463"/>
      <c r="U35" s="420"/>
      <c r="V35" s="421"/>
      <c r="W35" s="342"/>
      <c r="Y35" s="376"/>
      <c r="Z35" s="458"/>
      <c r="AA35" s="382"/>
      <c r="AB35" s="386"/>
      <c r="AC35" s="769"/>
      <c r="AE35" s="376"/>
      <c r="AF35" s="514" t="s">
        <v>556</v>
      </c>
      <c r="AG35" s="382"/>
      <c r="AH35" s="386"/>
      <c r="AI35" s="342"/>
      <c r="AK35" s="333" t="s">
        <v>445</v>
      </c>
      <c r="AL35" s="334" t="s">
        <v>202</v>
      </c>
      <c r="AM35" s="335" t="s">
        <v>203</v>
      </c>
      <c r="AN35" s="336" t="s">
        <v>204</v>
      </c>
      <c r="AO35" s="590" t="s">
        <v>205</v>
      </c>
      <c r="AQ35" s="333" t="s">
        <v>445</v>
      </c>
      <c r="AR35" s="334" t="s">
        <v>202</v>
      </c>
      <c r="AS35" s="335" t="s">
        <v>203</v>
      </c>
      <c r="AT35" s="336" t="s">
        <v>204</v>
      </c>
      <c r="AU35" s="590" t="s">
        <v>205</v>
      </c>
      <c r="AW35" s="834"/>
      <c r="AX35" s="835" t="s">
        <v>653</v>
      </c>
      <c r="AY35" s="836"/>
      <c r="AZ35" s="837">
        <v>40</v>
      </c>
      <c r="BA35" s="342">
        <v>945.3</v>
      </c>
      <c r="BC35" s="890" t="s">
        <v>532</v>
      </c>
      <c r="BD35" s="891"/>
      <c r="BE35" s="322"/>
      <c r="BF35" s="383" t="s">
        <v>199</v>
      </c>
      <c r="BG35" s="384"/>
      <c r="BI35" s="890" t="s">
        <v>156</v>
      </c>
      <c r="BJ35" s="891"/>
      <c r="BK35" s="322"/>
      <c r="BL35" s="383" t="s">
        <v>199</v>
      </c>
      <c r="BM35" s="384">
        <v>2023</v>
      </c>
      <c r="BO35" s="890" t="s">
        <v>557</v>
      </c>
      <c r="BP35" s="891"/>
      <c r="BQ35" s="322"/>
      <c r="BR35" s="383" t="s">
        <v>199</v>
      </c>
      <c r="BS35" s="384">
        <v>2023</v>
      </c>
      <c r="BU35" s="890" t="s">
        <v>143</v>
      </c>
      <c r="BV35" s="891"/>
      <c r="BW35" s="322"/>
      <c r="BX35" s="383" t="s">
        <v>199</v>
      </c>
      <c r="BY35" s="384">
        <v>2023</v>
      </c>
      <c r="CA35" s="890" t="s">
        <v>599</v>
      </c>
      <c r="CB35" s="891"/>
      <c r="CC35" s="322"/>
      <c r="CD35" s="383" t="s">
        <v>199</v>
      </c>
      <c r="CE35" s="384"/>
    </row>
    <row r="36" spans="1:83" x14ac:dyDescent="0.3">
      <c r="A36" s="376"/>
      <c r="B36" s="457" t="s">
        <v>728</v>
      </c>
      <c r="C36" s="382"/>
      <c r="D36" s="386"/>
      <c r="E36" s="351">
        <v>166.75</v>
      </c>
      <c r="G36" s="365">
        <v>46236</v>
      </c>
      <c r="H36" s="422" t="s">
        <v>447</v>
      </c>
      <c r="I36" s="382"/>
      <c r="J36" s="386">
        <v>120</v>
      </c>
      <c r="K36" s="345">
        <v>23.52</v>
      </c>
      <c r="M36" s="376"/>
      <c r="N36" s="457" t="s">
        <v>655</v>
      </c>
      <c r="O36" s="382"/>
      <c r="P36" s="386">
        <v>13</v>
      </c>
      <c r="Q36" s="769">
        <v>562.41999999999996</v>
      </c>
      <c r="S36" s="338"/>
      <c r="T36" s="463"/>
      <c r="U36" s="420"/>
      <c r="V36" s="421"/>
      <c r="W36" s="342"/>
      <c r="Y36" s="376"/>
      <c r="Z36" s="458"/>
      <c r="AA36" s="382"/>
      <c r="AB36" s="386"/>
      <c r="AC36" s="769"/>
      <c r="AE36" s="376"/>
      <c r="AF36" s="457"/>
      <c r="AG36" s="382"/>
      <c r="AH36" s="386"/>
      <c r="AI36" s="342"/>
      <c r="AK36" s="376"/>
      <c r="AL36" s="835" t="s">
        <v>708</v>
      </c>
      <c r="AM36" s="836"/>
      <c r="AN36" s="837">
        <v>14</v>
      </c>
      <c r="AO36" s="342">
        <v>436.63</v>
      </c>
      <c r="AQ36" s="376"/>
      <c r="AR36" s="457" t="s">
        <v>646</v>
      </c>
      <c r="AS36" s="382"/>
      <c r="AT36" s="386">
        <v>9</v>
      </c>
      <c r="AU36" s="591">
        <v>389.37</v>
      </c>
      <c r="AW36" s="376"/>
      <c r="AX36" s="838"/>
      <c r="AY36" s="836"/>
      <c r="AZ36" s="837"/>
      <c r="BA36" s="342"/>
      <c r="BC36" s="325" t="s">
        <v>154</v>
      </c>
      <c r="BD36" s="326"/>
      <c r="BE36" s="327"/>
      <c r="BF36" s="378" t="s">
        <v>12</v>
      </c>
      <c r="BG36" s="379"/>
      <c r="BI36" s="325" t="s">
        <v>157</v>
      </c>
      <c r="BJ36" s="326"/>
      <c r="BK36" s="327"/>
      <c r="BL36" s="378" t="s">
        <v>12</v>
      </c>
      <c r="BM36" s="379">
        <v>11</v>
      </c>
      <c r="BO36" s="325" t="s">
        <v>150</v>
      </c>
      <c r="BP36" s="326"/>
      <c r="BQ36" s="327"/>
      <c r="BR36" s="378" t="s">
        <v>12</v>
      </c>
      <c r="BS36" s="379">
        <v>11</v>
      </c>
      <c r="BU36" s="325" t="s">
        <v>144</v>
      </c>
      <c r="BV36" s="326"/>
      <c r="BW36" s="327"/>
      <c r="BX36" s="378" t="s">
        <v>12</v>
      </c>
      <c r="BY36" s="379">
        <v>4</v>
      </c>
      <c r="CA36" s="325" t="s">
        <v>601</v>
      </c>
      <c r="CB36" s="326"/>
      <c r="CC36" s="327"/>
      <c r="CD36" s="378" t="s">
        <v>12</v>
      </c>
      <c r="CE36" s="379"/>
    </row>
    <row r="37" spans="1:83" ht="15" thickBot="1" x14ac:dyDescent="0.35">
      <c r="A37" s="376"/>
      <c r="B37" s="457" t="s">
        <v>729</v>
      </c>
      <c r="C37" s="382"/>
      <c r="D37" s="386"/>
      <c r="E37" s="342">
        <v>195.5</v>
      </c>
      <c r="G37" s="365">
        <v>46236</v>
      </c>
      <c r="H37" s="457" t="s">
        <v>449</v>
      </c>
      <c r="I37" s="382"/>
      <c r="J37" s="386">
        <v>120</v>
      </c>
      <c r="K37" s="345">
        <v>23.52</v>
      </c>
      <c r="M37" s="338"/>
      <c r="N37" s="457" t="s">
        <v>656</v>
      </c>
      <c r="O37" s="382"/>
      <c r="P37" s="386">
        <v>2</v>
      </c>
      <c r="Q37" s="769">
        <v>58.1</v>
      </c>
      <c r="S37" s="338"/>
      <c r="T37" s="463"/>
      <c r="U37" s="420"/>
      <c r="V37" s="421"/>
      <c r="W37" s="342"/>
      <c r="Y37" s="376"/>
      <c r="Z37" s="457"/>
      <c r="AA37" s="382"/>
      <c r="AB37" s="386"/>
      <c r="AC37" s="769"/>
      <c r="AE37" s="376"/>
      <c r="AF37" s="458"/>
      <c r="AG37" s="382"/>
      <c r="AH37" s="386"/>
      <c r="AI37" s="342"/>
      <c r="AK37" s="338"/>
      <c r="AL37" s="838" t="s">
        <v>709</v>
      </c>
      <c r="AM37" s="836"/>
      <c r="AN37" s="837">
        <v>2</v>
      </c>
      <c r="AO37" s="342">
        <v>86.53</v>
      </c>
      <c r="AQ37" s="376"/>
      <c r="AR37" s="458" t="s">
        <v>647</v>
      </c>
      <c r="AS37" s="382"/>
      <c r="AT37" s="386">
        <v>9</v>
      </c>
      <c r="AU37" s="591">
        <v>319.3</v>
      </c>
      <c r="AW37" s="338"/>
      <c r="AX37" s="838"/>
      <c r="AY37" s="836"/>
      <c r="AZ37" s="837"/>
      <c r="BA37" s="342"/>
      <c r="BC37" s="328"/>
      <c r="BD37" s="329"/>
      <c r="BE37" s="381"/>
      <c r="BF37" s="378" t="s">
        <v>200</v>
      </c>
      <c r="BG37" s="379"/>
      <c r="BI37" s="328"/>
      <c r="BJ37" s="329"/>
      <c r="BK37" s="381"/>
      <c r="BL37" s="378" t="s">
        <v>200</v>
      </c>
      <c r="BM37" s="379">
        <v>3</v>
      </c>
      <c r="BO37" s="328"/>
      <c r="BP37" s="329"/>
      <c r="BQ37" s="381"/>
      <c r="BR37" s="378" t="s">
        <v>200</v>
      </c>
      <c r="BS37" s="379">
        <v>3</v>
      </c>
      <c r="BU37" s="328"/>
      <c r="BV37" s="329"/>
      <c r="BW37" s="381"/>
      <c r="BX37" s="378" t="s">
        <v>200</v>
      </c>
      <c r="BY37" s="379">
        <v>3</v>
      </c>
      <c r="CA37" s="328"/>
      <c r="CB37" s="329"/>
      <c r="CC37" s="381"/>
      <c r="CD37" s="378" t="s">
        <v>200</v>
      </c>
      <c r="CE37" s="379"/>
    </row>
    <row r="38" spans="1:83" ht="35.4" thickBot="1" x14ac:dyDescent="0.35">
      <c r="A38" s="376"/>
      <c r="B38" s="422" t="s">
        <v>730</v>
      </c>
      <c r="C38" s="382"/>
      <c r="D38" s="386"/>
      <c r="E38" s="342">
        <v>488.75</v>
      </c>
      <c r="G38" s="365">
        <v>46236</v>
      </c>
      <c r="H38" s="422" t="s">
        <v>447</v>
      </c>
      <c r="I38" s="382"/>
      <c r="J38" s="386">
        <v>120</v>
      </c>
      <c r="K38" s="345">
        <v>23.52</v>
      </c>
      <c r="M38" s="338"/>
      <c r="N38" s="458" t="s">
        <v>657</v>
      </c>
      <c r="O38" s="382"/>
      <c r="P38" s="386">
        <v>16</v>
      </c>
      <c r="Q38" s="769">
        <v>567.64</v>
      </c>
      <c r="S38" s="338"/>
      <c r="T38" s="339"/>
      <c r="U38" s="340"/>
      <c r="V38" s="341"/>
      <c r="W38" s="342"/>
      <c r="Y38" s="376"/>
      <c r="Z38" s="457"/>
      <c r="AA38" s="382"/>
      <c r="AB38" s="386"/>
      <c r="AC38" s="769"/>
      <c r="AE38" s="376"/>
      <c r="AF38" s="457"/>
      <c r="AG38" s="382"/>
      <c r="AH38" s="386"/>
      <c r="AI38" s="342"/>
      <c r="AK38" s="819"/>
      <c r="AL38" s="838" t="s">
        <v>657</v>
      </c>
      <c r="AM38" s="836"/>
      <c r="AN38" s="837">
        <v>2</v>
      </c>
      <c r="AO38" s="342">
        <v>70.959999999999994</v>
      </c>
      <c r="AQ38" s="376"/>
      <c r="AR38" s="458" t="s">
        <v>648</v>
      </c>
      <c r="AS38" s="382"/>
      <c r="AT38" s="386">
        <v>19</v>
      </c>
      <c r="AU38" s="591">
        <v>461.69</v>
      </c>
      <c r="AW38" s="338"/>
      <c r="AX38" s="463"/>
      <c r="AY38" s="420"/>
      <c r="AZ38" s="421"/>
      <c r="BA38" s="591"/>
      <c r="BC38" s="331" t="s">
        <v>239</v>
      </c>
      <c r="BD38" s="508" t="s">
        <v>584</v>
      </c>
      <c r="BE38" s="332"/>
      <c r="BF38" s="378" t="s">
        <v>201</v>
      </c>
      <c r="BG38" s="380"/>
      <c r="BI38" s="331" t="s">
        <v>239</v>
      </c>
      <c r="BJ38" s="508" t="s">
        <v>658</v>
      </c>
      <c r="BK38" s="332"/>
      <c r="BL38" s="378" t="s">
        <v>201</v>
      </c>
      <c r="BM38" s="380">
        <v>45154</v>
      </c>
      <c r="BO38" s="331" t="s">
        <v>239</v>
      </c>
      <c r="BP38" s="508" t="s">
        <v>625</v>
      </c>
      <c r="BQ38" s="332"/>
      <c r="BR38" s="378" t="s">
        <v>201</v>
      </c>
      <c r="BS38" s="380">
        <v>45154</v>
      </c>
      <c r="BU38" s="331" t="s">
        <v>239</v>
      </c>
      <c r="BV38" s="511" t="s">
        <v>675</v>
      </c>
      <c r="BW38" s="332"/>
      <c r="BX38" s="378" t="s">
        <v>201</v>
      </c>
      <c r="BY38" s="380">
        <v>44944</v>
      </c>
      <c r="CA38" s="331" t="s">
        <v>239</v>
      </c>
      <c r="CB38" s="508" t="s">
        <v>602</v>
      </c>
      <c r="CC38" s="332"/>
      <c r="CD38" s="378" t="s">
        <v>201</v>
      </c>
      <c r="CE38" s="380"/>
    </row>
    <row r="39" spans="1:83" ht="42" thickBot="1" x14ac:dyDescent="0.35">
      <c r="A39" s="376"/>
      <c r="B39" s="458"/>
      <c r="C39" s="382"/>
      <c r="D39" s="386"/>
      <c r="E39" s="342"/>
      <c r="G39" s="365">
        <v>46236</v>
      </c>
      <c r="H39" s="457" t="s">
        <v>448</v>
      </c>
      <c r="I39" s="382"/>
      <c r="J39" s="386">
        <v>120</v>
      </c>
      <c r="K39" s="345">
        <v>23.52</v>
      </c>
      <c r="M39" s="754"/>
      <c r="N39" s="457" t="s">
        <v>652</v>
      </c>
      <c r="O39" s="382"/>
      <c r="P39" s="386">
        <v>17</v>
      </c>
      <c r="Q39" s="769">
        <v>436.75</v>
      </c>
      <c r="S39" s="338"/>
      <c r="T39" s="339"/>
      <c r="U39" s="340"/>
      <c r="V39" s="341"/>
      <c r="W39" s="342"/>
      <c r="Y39" s="376"/>
      <c r="Z39" s="457"/>
      <c r="AA39" s="382"/>
      <c r="AB39" s="386"/>
      <c r="AC39" s="769"/>
      <c r="AE39" s="376"/>
      <c r="AF39" s="422"/>
      <c r="AG39" s="382"/>
      <c r="AH39" s="386"/>
      <c r="AI39" s="342"/>
      <c r="AK39" s="338"/>
      <c r="AL39" s="745" t="s">
        <v>652</v>
      </c>
      <c r="AM39" s="420"/>
      <c r="AN39" s="744">
        <v>1</v>
      </c>
      <c r="AO39" s="342">
        <v>25.46</v>
      </c>
      <c r="AQ39" s="338"/>
      <c r="AR39" s="463"/>
      <c r="AS39" s="420"/>
      <c r="AT39" s="421"/>
      <c r="AU39" s="591"/>
      <c r="AW39" s="352"/>
      <c r="AX39" s="722"/>
      <c r="AY39" s="892" t="s">
        <v>45</v>
      </c>
      <c r="AZ39" s="892"/>
      <c r="BA39" s="592">
        <f>SUM(BA35:BA38)</f>
        <v>945.3</v>
      </c>
      <c r="BC39" s="333" t="s">
        <v>445</v>
      </c>
      <c r="BD39" s="334" t="s">
        <v>202</v>
      </c>
      <c r="BE39" s="335" t="s">
        <v>203</v>
      </c>
      <c r="BF39" s="336" t="s">
        <v>204</v>
      </c>
      <c r="BG39" s="337" t="s">
        <v>205</v>
      </c>
      <c r="BI39" s="333" t="s">
        <v>445</v>
      </c>
      <c r="BJ39" s="334" t="s">
        <v>202</v>
      </c>
      <c r="BK39" s="335" t="s">
        <v>203</v>
      </c>
      <c r="BL39" s="336" t="s">
        <v>204</v>
      </c>
      <c r="BM39" s="337" t="s">
        <v>205</v>
      </c>
      <c r="BO39" s="333" t="s">
        <v>445</v>
      </c>
      <c r="BP39" s="334" t="s">
        <v>202</v>
      </c>
      <c r="BQ39" s="335" t="s">
        <v>203</v>
      </c>
      <c r="BR39" s="336" t="s">
        <v>204</v>
      </c>
      <c r="BS39" s="337" t="s">
        <v>205</v>
      </c>
      <c r="BU39" s="333" t="s">
        <v>445</v>
      </c>
      <c r="BV39" s="334" t="s">
        <v>202</v>
      </c>
      <c r="BW39" s="335" t="s">
        <v>203</v>
      </c>
      <c r="BX39" s="336" t="s">
        <v>204</v>
      </c>
      <c r="BY39" s="337" t="s">
        <v>205</v>
      </c>
      <c r="CA39" s="333" t="s">
        <v>445</v>
      </c>
      <c r="CB39" s="334" t="s">
        <v>202</v>
      </c>
      <c r="CC39" s="335" t="s">
        <v>203</v>
      </c>
      <c r="CD39" s="336" t="s">
        <v>204</v>
      </c>
      <c r="CE39" s="337" t="s">
        <v>205</v>
      </c>
    </row>
    <row r="40" spans="1:83" ht="15" thickBot="1" x14ac:dyDescent="0.35">
      <c r="A40" s="376"/>
      <c r="B40" s="457"/>
      <c r="C40" s="382"/>
      <c r="D40" s="386"/>
      <c r="E40" s="351"/>
      <c r="G40" s="365">
        <v>46236</v>
      </c>
      <c r="H40" s="422" t="s">
        <v>447</v>
      </c>
      <c r="I40" s="382"/>
      <c r="J40" s="386">
        <v>120</v>
      </c>
      <c r="K40" s="345">
        <v>23.52</v>
      </c>
      <c r="M40" s="596"/>
      <c r="N40" s="596"/>
      <c r="O40" s="596"/>
      <c r="P40" s="596"/>
      <c r="Q40" s="286">
        <f>SUM(Q35:Q39)</f>
        <v>2410.2199999999998</v>
      </c>
      <c r="S40" s="601"/>
      <c r="T40" s="602"/>
      <c r="U40" s="603"/>
      <c r="V40" s="604"/>
      <c r="W40" s="605"/>
      <c r="Y40" s="786"/>
      <c r="Z40" s="457"/>
      <c r="AA40" s="382"/>
      <c r="AB40" s="386"/>
      <c r="AC40" s="769"/>
      <c r="AE40" s="376"/>
      <c r="AF40" s="422"/>
      <c r="AG40" s="382"/>
      <c r="AH40" s="386"/>
      <c r="AI40" s="342"/>
      <c r="AK40" s="352"/>
      <c r="AL40" s="632"/>
      <c r="AM40" s="892" t="s">
        <v>45</v>
      </c>
      <c r="AN40" s="892"/>
      <c r="AO40" s="592">
        <f>SUM(AO36:AO39)</f>
        <v>619.58000000000004</v>
      </c>
      <c r="AQ40" s="352"/>
      <c r="AR40" s="674"/>
      <c r="AS40" s="892" t="s">
        <v>45</v>
      </c>
      <c r="AT40" s="892"/>
      <c r="AU40" s="592">
        <f>SUM(AU36:AU39)</f>
        <v>1170.3600000000001</v>
      </c>
      <c r="BC40" s="376"/>
      <c r="BD40" s="835"/>
      <c r="BE40" s="382"/>
      <c r="BF40" s="386"/>
      <c r="BG40" s="696" t="s">
        <v>556</v>
      </c>
      <c r="BI40" s="834" t="s">
        <v>556</v>
      </c>
      <c r="BJ40" s="835" t="s">
        <v>684</v>
      </c>
      <c r="BK40" s="836"/>
      <c r="BL40" s="837">
        <v>20</v>
      </c>
      <c r="BM40" s="342">
        <v>498.18</v>
      </c>
      <c r="BO40" s="755" t="s">
        <v>556</v>
      </c>
      <c r="BP40" s="854" t="s">
        <v>611</v>
      </c>
      <c r="BQ40" s="855"/>
      <c r="BR40" s="856">
        <v>160</v>
      </c>
      <c r="BS40" s="342">
        <v>3926.56</v>
      </c>
      <c r="BU40" s="376"/>
      <c r="BV40" s="779"/>
      <c r="BW40" s="780"/>
      <c r="BX40" s="781"/>
      <c r="BY40" s="342"/>
      <c r="CA40" s="755"/>
      <c r="CB40" s="458"/>
      <c r="CC40" s="382"/>
      <c r="CD40" s="386"/>
      <c r="CE40" s="342"/>
    </row>
    <row r="41" spans="1:83" x14ac:dyDescent="0.3">
      <c r="A41" s="376"/>
      <c r="B41" s="457"/>
      <c r="C41" s="382"/>
      <c r="D41" s="386"/>
      <c r="E41" s="342"/>
      <c r="G41" s="365">
        <v>46236</v>
      </c>
      <c r="H41" s="457" t="s">
        <v>450</v>
      </c>
      <c r="I41" s="382"/>
      <c r="J41" s="386">
        <v>120</v>
      </c>
      <c r="K41" s="345">
        <v>23.52</v>
      </c>
      <c r="M41" s="890" t="s">
        <v>452</v>
      </c>
      <c r="N41" s="891"/>
      <c r="O41" s="322"/>
      <c r="P41" s="383" t="s">
        <v>199</v>
      </c>
      <c r="Q41" s="384">
        <v>2023</v>
      </c>
      <c r="S41" s="601"/>
      <c r="T41" s="602"/>
      <c r="U41" s="603"/>
      <c r="V41" s="604"/>
      <c r="W41" s="605"/>
      <c r="Y41" s="376"/>
      <c r="Z41" s="457"/>
      <c r="AA41" s="382"/>
      <c r="AB41" s="386"/>
      <c r="AC41" s="769"/>
      <c r="AE41" s="338"/>
      <c r="AF41" s="638"/>
      <c r="AG41" s="611"/>
      <c r="AH41" s="585"/>
      <c r="AI41" s="342"/>
      <c r="AU41" s="593"/>
      <c r="AW41" s="890" t="s">
        <v>126</v>
      </c>
      <c r="AX41" s="891"/>
      <c r="AY41" s="322"/>
      <c r="AZ41" s="383" t="s">
        <v>199</v>
      </c>
      <c r="BA41" s="587">
        <v>2023</v>
      </c>
      <c r="BC41" s="338"/>
      <c r="BD41" s="457"/>
      <c r="BE41" s="420"/>
      <c r="BF41" s="421"/>
      <c r="BG41" s="342"/>
      <c r="BI41" s="834"/>
      <c r="BJ41" s="838" t="s">
        <v>685</v>
      </c>
      <c r="BK41" s="836"/>
      <c r="BL41" s="837">
        <v>16</v>
      </c>
      <c r="BM41" s="342">
        <v>398.54</v>
      </c>
      <c r="BO41" s="376"/>
      <c r="BP41" s="857" t="s">
        <v>649</v>
      </c>
      <c r="BQ41" s="855"/>
      <c r="BR41" s="856">
        <v>10</v>
      </c>
      <c r="BS41" s="342">
        <v>457.82</v>
      </c>
      <c r="BU41" s="376"/>
      <c r="BV41" s="782"/>
      <c r="BW41" s="780"/>
      <c r="BX41" s="781"/>
      <c r="BY41" s="342"/>
      <c r="CA41" s="376"/>
      <c r="CB41" s="457" t="s">
        <v>556</v>
      </c>
      <c r="CC41" s="382"/>
      <c r="CD41" s="386" t="s">
        <v>556</v>
      </c>
      <c r="CE41" s="342"/>
    </row>
    <row r="42" spans="1:83" ht="15" thickBot="1" x14ac:dyDescent="0.35">
      <c r="A42" s="376"/>
      <c r="B42" s="457"/>
      <c r="C42" s="382"/>
      <c r="D42" s="386"/>
      <c r="E42" s="520"/>
      <c r="G42" s="365">
        <v>46236</v>
      </c>
      <c r="H42" s="422" t="s">
        <v>447</v>
      </c>
      <c r="I42" s="382"/>
      <c r="J42" s="386">
        <v>120</v>
      </c>
      <c r="K42" s="345">
        <v>23.52</v>
      </c>
      <c r="M42" s="325" t="s">
        <v>161</v>
      </c>
      <c r="N42" s="326"/>
      <c r="O42" s="327"/>
      <c r="P42" s="378" t="s">
        <v>12</v>
      </c>
      <c r="Q42" s="379">
        <v>11</v>
      </c>
      <c r="S42" s="601"/>
      <c r="T42" s="602"/>
      <c r="U42" s="603"/>
      <c r="V42" s="604"/>
      <c r="W42" s="605"/>
      <c r="Y42" s="376"/>
      <c r="Z42" s="457"/>
      <c r="AA42" s="382"/>
      <c r="AB42" s="386"/>
      <c r="AC42" s="769"/>
      <c r="AE42" s="338"/>
      <c r="AF42" s="638"/>
      <c r="AG42" s="611"/>
      <c r="AH42" s="585"/>
      <c r="AI42" s="342"/>
      <c r="AU42" s="593"/>
      <c r="AW42" s="325" t="s">
        <v>155</v>
      </c>
      <c r="AX42" s="326"/>
      <c r="AY42" s="327"/>
      <c r="AZ42" s="378" t="s">
        <v>12</v>
      </c>
      <c r="BA42" s="588">
        <v>11</v>
      </c>
      <c r="BC42" s="338"/>
      <c r="BD42" s="463"/>
      <c r="BE42" s="420"/>
      <c r="BF42" s="421"/>
      <c r="BG42" s="342"/>
      <c r="BI42" s="376"/>
      <c r="BJ42" s="838" t="s">
        <v>657</v>
      </c>
      <c r="BK42" s="836"/>
      <c r="BL42" s="837">
        <v>16</v>
      </c>
      <c r="BM42" s="342">
        <v>567.64</v>
      </c>
      <c r="BO42" s="755"/>
      <c r="BP42" s="857" t="s">
        <v>651</v>
      </c>
      <c r="BQ42" s="855"/>
      <c r="BR42" s="856">
        <v>25</v>
      </c>
      <c r="BS42" s="342">
        <v>886.94</v>
      </c>
      <c r="BU42" s="376"/>
      <c r="BV42" s="782"/>
      <c r="BW42" s="780"/>
      <c r="BX42" s="781"/>
      <c r="BY42" s="342"/>
      <c r="CA42" s="755"/>
      <c r="CB42" s="457"/>
      <c r="CC42" s="382"/>
      <c r="CD42" s="386"/>
      <c r="CE42" s="342"/>
    </row>
    <row r="43" spans="1:83" ht="15" thickBot="1" x14ac:dyDescent="0.35">
      <c r="A43" s="376"/>
      <c r="B43" s="457"/>
      <c r="C43" s="382"/>
      <c r="D43" s="386"/>
      <c r="E43" s="520"/>
      <c r="G43" s="365">
        <v>46236</v>
      </c>
      <c r="H43" s="457" t="s">
        <v>448</v>
      </c>
      <c r="I43" s="382"/>
      <c r="J43" s="386">
        <v>120</v>
      </c>
      <c r="K43" s="345">
        <v>23.52</v>
      </c>
      <c r="M43" s="328"/>
      <c r="N43" s="329"/>
      <c r="O43" s="381"/>
      <c r="P43" s="378" t="s">
        <v>200</v>
      </c>
      <c r="Q43" s="379">
        <v>4</v>
      </c>
      <c r="S43" s="601"/>
      <c r="T43" s="602"/>
      <c r="U43" s="603"/>
      <c r="V43" s="604"/>
      <c r="W43" s="605"/>
      <c r="Y43" s="376"/>
      <c r="Z43" s="457"/>
      <c r="AA43" s="382"/>
      <c r="AB43" s="386"/>
      <c r="AC43" s="769"/>
      <c r="AE43" s="338"/>
      <c r="AF43" s="638"/>
      <c r="AG43" s="611"/>
      <c r="AH43" s="585"/>
      <c r="AI43" s="342"/>
      <c r="AK43" s="890" t="s">
        <v>592</v>
      </c>
      <c r="AL43" s="891"/>
      <c r="AM43" s="322"/>
      <c r="AN43" s="383" t="s">
        <v>199</v>
      </c>
      <c r="AO43" s="587">
        <v>2023</v>
      </c>
      <c r="AQ43" s="890" t="s">
        <v>169</v>
      </c>
      <c r="AR43" s="891"/>
      <c r="AS43" s="322"/>
      <c r="AT43" s="383" t="s">
        <v>199</v>
      </c>
      <c r="AU43" s="587">
        <v>2023</v>
      </c>
      <c r="AW43" s="328"/>
      <c r="AX43" s="329"/>
      <c r="AY43" s="381"/>
      <c r="AZ43" s="378" t="s">
        <v>200</v>
      </c>
      <c r="BA43" s="588">
        <v>3</v>
      </c>
      <c r="BC43" s="338"/>
      <c r="BD43" s="463"/>
      <c r="BE43" s="420"/>
      <c r="BF43" s="421"/>
      <c r="BG43" s="342"/>
      <c r="BI43" s="376"/>
      <c r="BJ43" s="458" t="s">
        <v>556</v>
      </c>
      <c r="BK43" s="680"/>
      <c r="BL43" s="837"/>
      <c r="BM43" s="342"/>
      <c r="BO43" s="376" t="s">
        <v>556</v>
      </c>
      <c r="BP43" s="858" t="s">
        <v>695</v>
      </c>
      <c r="BQ43" s="855"/>
      <c r="BR43" s="856">
        <v>2</v>
      </c>
      <c r="BS43" s="342">
        <v>149.55000000000001</v>
      </c>
      <c r="BU43" s="376"/>
      <c r="BV43" s="783"/>
      <c r="BW43" s="780"/>
      <c r="BX43" s="781"/>
      <c r="BY43" s="342"/>
      <c r="CA43" s="376" t="s">
        <v>556</v>
      </c>
      <c r="CB43" s="457" t="s">
        <v>556</v>
      </c>
      <c r="CC43" s="382"/>
      <c r="CD43" s="386"/>
      <c r="CE43" s="342"/>
    </row>
    <row r="44" spans="1:83" ht="18" thickBot="1" x14ac:dyDescent="0.35">
      <c r="A44" s="376"/>
      <c r="B44" s="458"/>
      <c r="C44" s="382"/>
      <c r="D44" s="386"/>
      <c r="E44" s="520"/>
      <c r="G44" s="365">
        <v>46236</v>
      </c>
      <c r="H44" s="422" t="s">
        <v>451</v>
      </c>
      <c r="I44" s="382"/>
      <c r="J44" s="386">
        <v>120</v>
      </c>
      <c r="K44" s="345">
        <v>23.52</v>
      </c>
      <c r="M44" s="331" t="s">
        <v>239</v>
      </c>
      <c r="N44" s="508" t="s">
        <v>628</v>
      </c>
      <c r="O44" s="332"/>
      <c r="P44" s="378" t="s">
        <v>201</v>
      </c>
      <c r="Q44" s="380">
        <v>45161</v>
      </c>
      <c r="S44" s="601"/>
      <c r="T44" s="602"/>
      <c r="U44" s="603"/>
      <c r="V44" s="604"/>
      <c r="W44" s="605"/>
      <c r="Y44" s="376"/>
      <c r="Z44" s="457"/>
      <c r="AA44" s="382"/>
      <c r="AB44" s="386"/>
      <c r="AC44" s="769"/>
      <c r="AE44" s="338"/>
      <c r="AF44" s="610"/>
      <c r="AG44" s="612"/>
      <c r="AH44" s="421"/>
      <c r="AI44" s="342"/>
      <c r="AK44" s="325" t="s">
        <v>159</v>
      </c>
      <c r="AL44" s="326"/>
      <c r="AM44" s="327"/>
      <c r="AN44" s="378" t="s">
        <v>12</v>
      </c>
      <c r="AO44" s="588">
        <v>11</v>
      </c>
      <c r="AQ44" s="325" t="s">
        <v>148</v>
      </c>
      <c r="AR44" s="326"/>
      <c r="AS44" s="327"/>
      <c r="AT44" s="378" t="s">
        <v>12</v>
      </c>
      <c r="AU44" s="588">
        <v>11</v>
      </c>
      <c r="AW44" s="331" t="s">
        <v>239</v>
      </c>
      <c r="AX44" s="508" t="s">
        <v>573</v>
      </c>
      <c r="AY44" s="332"/>
      <c r="AZ44" s="378" t="s">
        <v>201</v>
      </c>
      <c r="BA44" s="589">
        <v>45154</v>
      </c>
      <c r="BC44" s="352"/>
      <c r="BD44" s="726"/>
      <c r="BE44" s="892" t="s">
        <v>45</v>
      </c>
      <c r="BF44" s="892"/>
      <c r="BG44" s="385">
        <f>SUM(BG40:BG43)</f>
        <v>0</v>
      </c>
      <c r="BI44" s="376"/>
      <c r="BJ44" s="457"/>
      <c r="BK44" s="382"/>
      <c r="BL44" s="837"/>
      <c r="BM44" s="342"/>
      <c r="BO44" s="755"/>
      <c r="BP44" s="857" t="s">
        <v>652</v>
      </c>
      <c r="BQ44" s="855"/>
      <c r="BR44" s="856">
        <v>30</v>
      </c>
      <c r="BS44" s="342">
        <v>763.83</v>
      </c>
      <c r="BU44" s="376"/>
      <c r="BV44" s="457"/>
      <c r="BW44" s="382"/>
      <c r="BX44" s="386"/>
      <c r="BY44" s="703"/>
      <c r="CA44" s="755"/>
      <c r="CB44" s="457" t="s">
        <v>556</v>
      </c>
      <c r="CC44" s="382"/>
      <c r="CD44" s="386" t="s">
        <v>556</v>
      </c>
      <c r="CE44" s="703"/>
    </row>
    <row r="45" spans="1:83" ht="28.2" thickBot="1" x14ac:dyDescent="0.35">
      <c r="A45" s="376"/>
      <c r="B45" s="457"/>
      <c r="C45" s="382"/>
      <c r="D45" s="386"/>
      <c r="E45" s="520"/>
      <c r="G45" s="365">
        <v>46236</v>
      </c>
      <c r="H45" s="457" t="s">
        <v>448</v>
      </c>
      <c r="I45" s="382"/>
      <c r="J45" s="386">
        <v>120</v>
      </c>
      <c r="K45" s="345">
        <v>23.52</v>
      </c>
      <c r="M45" s="333"/>
      <c r="N45" s="334"/>
      <c r="O45" s="335"/>
      <c r="P45" s="336"/>
      <c r="Q45" s="337"/>
      <c r="S45" s="601"/>
      <c r="T45" s="602"/>
      <c r="U45" s="603"/>
      <c r="V45" s="604"/>
      <c r="W45" s="605"/>
      <c r="Y45" s="376"/>
      <c r="Z45" s="422"/>
      <c r="AA45" s="382"/>
      <c r="AB45" s="386"/>
      <c r="AC45" s="769"/>
      <c r="AE45" s="352"/>
      <c r="AF45" s="741"/>
      <c r="AG45" s="892" t="s">
        <v>45</v>
      </c>
      <c r="AH45" s="892"/>
      <c r="AI45" s="385">
        <f>SUM(AI29:AI44)</f>
        <v>119.08999999999999</v>
      </c>
      <c r="AK45" s="325"/>
      <c r="AL45" s="326"/>
      <c r="AM45" s="327"/>
      <c r="AN45" s="378"/>
      <c r="AO45" s="588" t="s">
        <v>556</v>
      </c>
      <c r="AQ45" s="328"/>
      <c r="AR45" s="329"/>
      <c r="AS45" s="381"/>
      <c r="AT45" s="378" t="s">
        <v>200</v>
      </c>
      <c r="AU45" s="588">
        <v>4</v>
      </c>
      <c r="AW45" s="333" t="s">
        <v>445</v>
      </c>
      <c r="AX45" s="334" t="s">
        <v>202</v>
      </c>
      <c r="AY45" s="335" t="s">
        <v>203</v>
      </c>
      <c r="AZ45" s="336" t="s">
        <v>204</v>
      </c>
      <c r="BA45" s="590" t="s">
        <v>205</v>
      </c>
      <c r="BI45" s="376"/>
      <c r="BJ45" s="457"/>
      <c r="BK45" s="382"/>
      <c r="BL45" s="837"/>
      <c r="BM45" s="342"/>
      <c r="BO45" s="376"/>
      <c r="BP45" s="457" t="s">
        <v>705</v>
      </c>
      <c r="BQ45" s="382"/>
      <c r="BR45" s="856"/>
      <c r="BS45" s="342"/>
      <c r="BU45" s="376"/>
      <c r="BV45" s="457"/>
      <c r="BW45" s="382"/>
      <c r="BX45" s="386"/>
      <c r="BY45" s="709"/>
      <c r="CA45" s="376"/>
      <c r="CB45" s="457"/>
      <c r="CC45" s="382"/>
      <c r="CD45" s="386"/>
      <c r="CE45" s="709"/>
    </row>
    <row r="46" spans="1:83" ht="28.2" thickBot="1" x14ac:dyDescent="0.35">
      <c r="A46" s="376"/>
      <c r="B46" s="422"/>
      <c r="C46" s="382"/>
      <c r="D46" s="386"/>
      <c r="E46" s="520"/>
      <c r="G46" s="365">
        <v>46236</v>
      </c>
      <c r="H46" s="422" t="s">
        <v>447</v>
      </c>
      <c r="I46" s="382"/>
      <c r="J46" s="386">
        <v>120</v>
      </c>
      <c r="K46" s="345">
        <v>23.52</v>
      </c>
      <c r="M46" s="376"/>
      <c r="N46" s="516" t="s">
        <v>202</v>
      </c>
      <c r="O46" s="517" t="s">
        <v>203</v>
      </c>
      <c r="P46" s="518" t="s">
        <v>204</v>
      </c>
      <c r="Q46" s="337" t="s">
        <v>205</v>
      </c>
      <c r="S46" s="601"/>
      <c r="T46" s="602"/>
      <c r="U46" s="603"/>
      <c r="V46" s="604"/>
      <c r="W46" s="605"/>
      <c r="Y46" s="376"/>
      <c r="Z46" s="422"/>
      <c r="AA46" s="382"/>
      <c r="AB46" s="386"/>
      <c r="AC46" s="642"/>
      <c r="AK46" s="328"/>
      <c r="AL46" s="329"/>
      <c r="AM46" s="381"/>
      <c r="AN46" s="378" t="s">
        <v>200</v>
      </c>
      <c r="AO46" s="588">
        <v>3</v>
      </c>
      <c r="AQ46" s="331" t="s">
        <v>239</v>
      </c>
      <c r="AR46" s="801" t="s">
        <v>569</v>
      </c>
      <c r="AS46" s="332"/>
      <c r="AT46" s="378" t="s">
        <v>201</v>
      </c>
      <c r="AU46" s="589">
        <v>45161</v>
      </c>
      <c r="AW46" s="834"/>
      <c r="AX46" s="835" t="s">
        <v>653</v>
      </c>
      <c r="AY46" s="836"/>
      <c r="AZ46" s="837">
        <v>40</v>
      </c>
      <c r="BA46" s="342">
        <v>945.3</v>
      </c>
      <c r="BC46" s="890" t="s">
        <v>532</v>
      </c>
      <c r="BD46" s="891"/>
      <c r="BE46" s="322"/>
      <c r="BF46" s="383" t="s">
        <v>199</v>
      </c>
      <c r="BG46" s="384"/>
      <c r="BI46" s="376"/>
      <c r="BJ46" s="457"/>
      <c r="BK46" s="382"/>
      <c r="BL46" s="386"/>
      <c r="BM46" s="710"/>
      <c r="BO46" s="376"/>
      <c r="BP46" s="457" t="s">
        <v>525</v>
      </c>
      <c r="BQ46" s="382"/>
      <c r="BR46" s="856">
        <v>10800</v>
      </c>
      <c r="BS46" s="703">
        <v>2103.9499999999998</v>
      </c>
      <c r="BU46" s="376"/>
      <c r="BV46" s="457"/>
      <c r="BW46" s="382"/>
      <c r="BX46" s="386"/>
      <c r="BY46" s="710"/>
      <c r="CA46" s="376"/>
      <c r="CB46" s="457"/>
      <c r="CC46" s="382"/>
      <c r="CD46" s="386"/>
      <c r="CE46" s="708"/>
    </row>
    <row r="47" spans="1:83" ht="28.2" thickBot="1" x14ac:dyDescent="0.35">
      <c r="A47" s="376"/>
      <c r="B47" s="422"/>
      <c r="C47" s="382"/>
      <c r="D47" s="386"/>
      <c r="E47" s="520"/>
      <c r="G47" s="365">
        <v>46236</v>
      </c>
      <c r="H47" s="457" t="s">
        <v>448</v>
      </c>
      <c r="I47" s="382"/>
      <c r="J47" s="386">
        <v>120</v>
      </c>
      <c r="K47" s="345">
        <v>22.85</v>
      </c>
      <c r="M47" s="742"/>
      <c r="N47" s="835" t="s">
        <v>659</v>
      </c>
      <c r="O47" s="382"/>
      <c r="P47" s="386">
        <v>33</v>
      </c>
      <c r="Q47" s="769">
        <v>809.85</v>
      </c>
      <c r="S47" s="601"/>
      <c r="T47" s="602"/>
      <c r="U47" s="603"/>
      <c r="V47" s="604"/>
      <c r="W47" s="605"/>
      <c r="Y47" s="376"/>
      <c r="Z47" s="583"/>
      <c r="AA47" s="382"/>
      <c r="AB47" s="386"/>
      <c r="AC47" s="642"/>
      <c r="AE47" s="890" t="s">
        <v>138</v>
      </c>
      <c r="AF47" s="896"/>
      <c r="AG47" s="322"/>
      <c r="AH47" s="383" t="s">
        <v>199</v>
      </c>
      <c r="AI47" s="384">
        <v>2023</v>
      </c>
      <c r="AK47" s="331" t="s">
        <v>239</v>
      </c>
      <c r="AL47" s="802" t="s">
        <v>621</v>
      </c>
      <c r="AM47" s="332"/>
      <c r="AN47" s="378" t="s">
        <v>201</v>
      </c>
      <c r="AO47" s="589">
        <v>45154</v>
      </c>
      <c r="AQ47" s="333" t="s">
        <v>445</v>
      </c>
      <c r="AR47" s="334" t="s">
        <v>202</v>
      </c>
      <c r="AS47" s="335" t="s">
        <v>203</v>
      </c>
      <c r="AT47" s="336" t="s">
        <v>204</v>
      </c>
      <c r="AU47" s="590" t="s">
        <v>205</v>
      </c>
      <c r="AW47" s="376"/>
      <c r="AX47" s="838"/>
      <c r="AY47" s="836"/>
      <c r="AZ47" s="837"/>
      <c r="BA47" s="342"/>
      <c r="BC47" s="325" t="s">
        <v>154</v>
      </c>
      <c r="BD47" s="326"/>
      <c r="BE47" s="327"/>
      <c r="BF47" s="378" t="s">
        <v>12</v>
      </c>
      <c r="BG47" s="379"/>
      <c r="BI47" s="376"/>
      <c r="BJ47" s="457"/>
      <c r="BK47" s="382"/>
      <c r="BL47" s="386"/>
      <c r="BM47" s="709"/>
      <c r="BO47" s="376"/>
      <c r="BP47" s="457"/>
      <c r="BQ47" s="382"/>
      <c r="BR47" s="386"/>
      <c r="BS47" s="708"/>
      <c r="BU47" s="376"/>
      <c r="BV47" s="457"/>
      <c r="BW47" s="382"/>
      <c r="BX47" s="386"/>
      <c r="BY47" s="708"/>
      <c r="CA47" s="376"/>
      <c r="CB47" s="457"/>
      <c r="CC47" s="382"/>
      <c r="CD47" s="386"/>
      <c r="CE47" s="708"/>
    </row>
    <row r="48" spans="1:83" ht="14.1" customHeight="1" thickBot="1" x14ac:dyDescent="0.35">
      <c r="A48" s="376"/>
      <c r="B48" s="422"/>
      <c r="C48" s="382"/>
      <c r="D48" s="386"/>
      <c r="E48" s="520"/>
      <c r="G48" s="366"/>
      <c r="H48" s="348"/>
      <c r="I48" s="349"/>
      <c r="J48" s="350"/>
      <c r="K48" s="342"/>
      <c r="M48" s="742"/>
      <c r="N48" s="858" t="s">
        <v>660</v>
      </c>
      <c r="O48" s="382"/>
      <c r="P48" s="386">
        <v>14</v>
      </c>
      <c r="Q48" s="769">
        <v>605.67999999999995</v>
      </c>
      <c r="Y48" s="376"/>
      <c r="Z48" s="422"/>
      <c r="AA48" s="382"/>
      <c r="AB48" s="386"/>
      <c r="AC48" s="731"/>
      <c r="AE48" s="325" t="s">
        <v>137</v>
      </c>
      <c r="AF48" s="326"/>
      <c r="AG48" s="327"/>
      <c r="AH48" s="378" t="s">
        <v>12</v>
      </c>
      <c r="AI48" s="379">
        <v>11</v>
      </c>
      <c r="AK48" s="333" t="s">
        <v>445</v>
      </c>
      <c r="AL48" s="334" t="s">
        <v>202</v>
      </c>
      <c r="AM48" s="335" t="s">
        <v>203</v>
      </c>
      <c r="AN48" s="336" t="s">
        <v>204</v>
      </c>
      <c r="AO48" s="590" t="s">
        <v>205</v>
      </c>
      <c r="AQ48" s="746"/>
      <c r="AR48" s="457" t="s">
        <v>646</v>
      </c>
      <c r="AS48" s="382"/>
      <c r="AT48" s="386">
        <v>9</v>
      </c>
      <c r="AU48" s="591">
        <v>389.37</v>
      </c>
      <c r="AW48" s="338"/>
      <c r="AX48" s="838"/>
      <c r="AY48" s="836"/>
      <c r="AZ48" s="837"/>
      <c r="BA48" s="342"/>
      <c r="BC48" s="328"/>
      <c r="BD48" s="329"/>
      <c r="BE48" s="381"/>
      <c r="BF48" s="378" t="s">
        <v>200</v>
      </c>
      <c r="BG48" s="379"/>
      <c r="BI48" s="705"/>
      <c r="BJ48" s="706"/>
      <c r="BK48" s="707"/>
      <c r="BL48" s="805"/>
      <c r="BM48" s="709"/>
      <c r="BO48" s="705"/>
      <c r="BP48" s="871"/>
      <c r="BQ48" s="707"/>
      <c r="BR48" s="805"/>
      <c r="BS48" s="708"/>
      <c r="BU48" s="705"/>
      <c r="BV48" s="706"/>
      <c r="BW48" s="707"/>
      <c r="BX48" s="704"/>
      <c r="BY48" s="708"/>
      <c r="CA48" s="705"/>
      <c r="CB48" s="706"/>
      <c r="CC48" s="707"/>
      <c r="CD48" s="704"/>
      <c r="CE48" s="708"/>
    </row>
    <row r="49" spans="1:83" ht="14.1" customHeight="1" thickBot="1" x14ac:dyDescent="0.35">
      <c r="A49" s="376"/>
      <c r="B49" s="422"/>
      <c r="C49" s="382"/>
      <c r="D49" s="386"/>
      <c r="E49" s="520"/>
      <c r="G49" s="683"/>
      <c r="H49" s="684"/>
      <c r="I49" s="685"/>
      <c r="J49" s="686"/>
      <c r="K49" s="605"/>
      <c r="M49" s="742"/>
      <c r="N49" s="858" t="s">
        <v>661</v>
      </c>
      <c r="O49" s="382"/>
      <c r="P49" s="386">
        <v>2</v>
      </c>
      <c r="Q49" s="769">
        <v>58.1</v>
      </c>
      <c r="Y49" s="376"/>
      <c r="Z49" s="422"/>
      <c r="AA49" s="382"/>
      <c r="AB49" s="386"/>
      <c r="AC49" s="731"/>
      <c r="AE49" s="328"/>
      <c r="AF49" s="329"/>
      <c r="AG49" s="381"/>
      <c r="AH49" s="378" t="s">
        <v>200</v>
      </c>
      <c r="AI49" s="379">
        <v>3</v>
      </c>
      <c r="AK49" s="376"/>
      <c r="AL49" s="835" t="s">
        <v>708</v>
      </c>
      <c r="AM49" s="836"/>
      <c r="AN49" s="837">
        <v>14</v>
      </c>
      <c r="AO49" s="342">
        <v>436.63</v>
      </c>
      <c r="AQ49" s="746"/>
      <c r="AR49" s="458" t="s">
        <v>647</v>
      </c>
      <c r="AS49" s="382"/>
      <c r="AT49" s="386">
        <v>9</v>
      </c>
      <c r="AU49" s="591">
        <v>319.3</v>
      </c>
      <c r="AW49" s="338"/>
      <c r="AX49" s="463"/>
      <c r="AY49" s="420"/>
      <c r="AZ49" s="421"/>
      <c r="BA49" s="591"/>
      <c r="BC49" s="331" t="s">
        <v>239</v>
      </c>
      <c r="BD49" s="508" t="s">
        <v>584</v>
      </c>
      <c r="BE49" s="332"/>
      <c r="BF49" s="378" t="s">
        <v>201</v>
      </c>
      <c r="BG49" s="380"/>
      <c r="BI49" s="711"/>
      <c r="BJ49" s="712"/>
      <c r="BK49" s="713"/>
      <c r="BL49" s="806"/>
      <c r="BM49" s="804"/>
      <c r="BO49" s="711"/>
      <c r="BP49" s="712"/>
      <c r="BQ49" s="713"/>
      <c r="BR49" s="714"/>
      <c r="BS49" s="715"/>
      <c r="BU49" s="711"/>
      <c r="BV49" s="712"/>
      <c r="BW49" s="713"/>
      <c r="BX49" s="714"/>
      <c r="BY49" s="715"/>
      <c r="CA49" s="711"/>
      <c r="CB49" s="712"/>
      <c r="CC49" s="713"/>
      <c r="CD49" s="714"/>
      <c r="CE49" s="715"/>
    </row>
    <row r="50" spans="1:83" ht="14.1" customHeight="1" thickBot="1" x14ac:dyDescent="0.35">
      <c r="A50" s="376"/>
      <c r="B50" s="422"/>
      <c r="C50" s="382"/>
      <c r="D50" s="386"/>
      <c r="E50" s="520"/>
      <c r="G50" s="683"/>
      <c r="H50" s="422"/>
      <c r="I50" s="382"/>
      <c r="J50" s="386"/>
      <c r="K50" s="345"/>
      <c r="M50" s="742"/>
      <c r="N50" s="838" t="s">
        <v>662</v>
      </c>
      <c r="O50" s="382"/>
      <c r="P50" s="386">
        <v>10</v>
      </c>
      <c r="Q50" s="769">
        <v>354.78</v>
      </c>
      <c r="Y50" s="376"/>
      <c r="Z50" s="422"/>
      <c r="AA50" s="382"/>
      <c r="AB50" s="386"/>
      <c r="AC50" s="731"/>
      <c r="AE50" s="331" t="s">
        <v>239</v>
      </c>
      <c r="AF50" s="508" t="s">
        <v>610</v>
      </c>
      <c r="AG50" s="332"/>
      <c r="AH50" s="378" t="s">
        <v>201</v>
      </c>
      <c r="AI50" s="380">
        <v>45154</v>
      </c>
      <c r="AK50" s="338"/>
      <c r="AL50" s="838" t="s">
        <v>709</v>
      </c>
      <c r="AM50" s="836"/>
      <c r="AN50" s="837">
        <v>2</v>
      </c>
      <c r="AO50" s="342">
        <v>86.53</v>
      </c>
      <c r="AQ50" s="746"/>
      <c r="AR50" s="458" t="s">
        <v>648</v>
      </c>
      <c r="AS50" s="382"/>
      <c r="AT50" s="386">
        <v>19</v>
      </c>
      <c r="AU50" s="591">
        <v>461.69</v>
      </c>
      <c r="AW50" s="352"/>
      <c r="AX50" s="722"/>
      <c r="AY50" s="892" t="s">
        <v>45</v>
      </c>
      <c r="AZ50" s="892"/>
      <c r="BA50" s="592">
        <f>SUM(BA46:BA49)</f>
        <v>945.3</v>
      </c>
      <c r="BC50" s="333" t="s">
        <v>445</v>
      </c>
      <c r="BD50" s="334" t="s">
        <v>202</v>
      </c>
      <c r="BE50" s="335" t="s">
        <v>203</v>
      </c>
      <c r="BF50" s="336" t="s">
        <v>204</v>
      </c>
      <c r="BG50" s="337" t="s">
        <v>205</v>
      </c>
      <c r="BI50" s="716"/>
      <c r="BJ50" s="717"/>
      <c r="BK50" s="718"/>
      <c r="BL50" s="720" t="s">
        <v>16</v>
      </c>
      <c r="BM50" s="719">
        <f>SUM(BM40:BM49)</f>
        <v>1464.3600000000001</v>
      </c>
      <c r="BO50" s="716"/>
      <c r="BP50" s="717"/>
      <c r="BQ50" s="718"/>
      <c r="BR50" s="720" t="s">
        <v>16</v>
      </c>
      <c r="BS50" s="719">
        <f>SUM(BS40:BS49)</f>
        <v>8288.65</v>
      </c>
      <c r="BU50" s="716"/>
      <c r="BV50" s="717"/>
      <c r="BW50" s="718"/>
      <c r="BX50" s="720" t="s">
        <v>16</v>
      </c>
      <c r="BY50" s="719">
        <f>SUM(BY40:BY49)</f>
        <v>0</v>
      </c>
      <c r="CA50" s="716"/>
      <c r="CB50" s="717"/>
      <c r="CC50" s="718"/>
      <c r="CD50" s="720" t="s">
        <v>16</v>
      </c>
      <c r="CE50" s="719">
        <f>SUM(CE40:CE49)</f>
        <v>0</v>
      </c>
    </row>
    <row r="51" spans="1:83" ht="14.1" customHeight="1" thickBot="1" x14ac:dyDescent="0.35">
      <c r="A51" s="376"/>
      <c r="B51" s="422"/>
      <c r="C51" s="382"/>
      <c r="D51" s="386"/>
      <c r="E51" s="520"/>
      <c r="G51" s="683"/>
      <c r="H51" s="684" t="s">
        <v>556</v>
      </c>
      <c r="I51" s="685"/>
      <c r="J51" s="686"/>
      <c r="K51" s="605"/>
      <c r="M51" s="742"/>
      <c r="N51" s="858" t="s">
        <v>663</v>
      </c>
      <c r="O51" s="382"/>
      <c r="P51" s="386">
        <v>19</v>
      </c>
      <c r="Q51" s="769">
        <v>488.13</v>
      </c>
      <c r="Y51" s="376"/>
      <c r="Z51" s="422"/>
      <c r="AA51" s="382"/>
      <c r="AB51" s="386"/>
      <c r="AC51" s="731"/>
      <c r="AE51" s="333" t="s">
        <v>445</v>
      </c>
      <c r="AF51" s="334" t="s">
        <v>202</v>
      </c>
      <c r="AG51" s="335" t="s">
        <v>203</v>
      </c>
      <c r="AH51" s="336" t="s">
        <v>204</v>
      </c>
      <c r="AI51" s="337" t="s">
        <v>205</v>
      </c>
      <c r="AK51" s="819"/>
      <c r="AL51" s="838" t="s">
        <v>657</v>
      </c>
      <c r="AM51" s="836"/>
      <c r="AN51" s="837">
        <v>2</v>
      </c>
      <c r="AO51" s="342">
        <v>70.959999999999994</v>
      </c>
      <c r="AQ51" s="746"/>
      <c r="AR51" s="463" t="s">
        <v>556</v>
      </c>
      <c r="AS51" s="748"/>
      <c r="AT51" s="421"/>
      <c r="AU51" s="591"/>
      <c r="BC51" s="376"/>
      <c r="BD51" s="835" t="s">
        <v>635</v>
      </c>
      <c r="BE51" s="382"/>
      <c r="BF51" s="386"/>
      <c r="BG51" s="696" t="s">
        <v>556</v>
      </c>
    </row>
    <row r="52" spans="1:83" ht="14.1" customHeight="1" thickBot="1" x14ac:dyDescent="0.35">
      <c r="A52" s="376"/>
      <c r="B52" s="422"/>
      <c r="C52" s="382"/>
      <c r="D52" s="386"/>
      <c r="E52" s="520"/>
      <c r="G52" s="683"/>
      <c r="H52" s="684"/>
      <c r="I52" s="685"/>
      <c r="J52" s="686"/>
      <c r="K52" s="605"/>
      <c r="M52" s="742"/>
      <c r="N52" s="422"/>
      <c r="O52" s="382"/>
      <c r="P52" s="386"/>
      <c r="Q52" s="769"/>
      <c r="Y52" s="376"/>
      <c r="Z52" s="422"/>
      <c r="AA52" s="382"/>
      <c r="AB52" s="386"/>
      <c r="AC52" s="731"/>
      <c r="AE52" s="376" t="s">
        <v>556</v>
      </c>
      <c r="AF52" s="838" t="s">
        <v>687</v>
      </c>
      <c r="AG52" s="836" t="s">
        <v>688</v>
      </c>
      <c r="AH52" s="837">
        <v>2</v>
      </c>
      <c r="AI52" s="342">
        <v>49.08</v>
      </c>
      <c r="AK52" s="809"/>
      <c r="AL52" s="745" t="s">
        <v>652</v>
      </c>
      <c r="AM52" s="811"/>
      <c r="AN52" s="744">
        <v>1</v>
      </c>
      <c r="AO52" s="342">
        <v>25.46</v>
      </c>
      <c r="AQ52" s="746"/>
      <c r="AR52" s="747"/>
      <c r="AS52" s="748"/>
      <c r="AT52" s="749"/>
      <c r="AU52" s="591"/>
      <c r="AW52" s="890" t="s">
        <v>126</v>
      </c>
      <c r="AX52" s="891"/>
      <c r="AY52" s="322"/>
      <c r="AZ52" s="383" t="s">
        <v>199</v>
      </c>
      <c r="BA52" s="587">
        <v>2023</v>
      </c>
      <c r="BC52" s="338"/>
      <c r="BD52" s="463"/>
      <c r="BE52" s="420"/>
      <c r="BF52" s="421"/>
      <c r="BG52" s="342"/>
      <c r="BI52" s="890" t="s">
        <v>156</v>
      </c>
      <c r="BJ52" s="891"/>
      <c r="BK52" s="322"/>
      <c r="BL52" s="383" t="s">
        <v>199</v>
      </c>
      <c r="BM52" s="384">
        <v>2023</v>
      </c>
      <c r="BO52" s="890" t="s">
        <v>557</v>
      </c>
      <c r="BP52" s="891"/>
      <c r="BQ52" s="322"/>
      <c r="BR52" s="383" t="s">
        <v>199</v>
      </c>
      <c r="BS52" s="384">
        <v>2023</v>
      </c>
      <c r="BU52" s="890" t="s">
        <v>143</v>
      </c>
      <c r="BV52" s="891"/>
      <c r="BW52" s="322"/>
      <c r="BX52" s="383" t="s">
        <v>199</v>
      </c>
      <c r="BY52" s="384">
        <v>2023</v>
      </c>
      <c r="CA52" s="890" t="s">
        <v>599</v>
      </c>
      <c r="CB52" s="891"/>
      <c r="CC52" s="322"/>
      <c r="CD52" s="383" t="s">
        <v>199</v>
      </c>
      <c r="CE52" s="384"/>
    </row>
    <row r="53" spans="1:83" ht="14.1" customHeight="1" thickBot="1" x14ac:dyDescent="0.35">
      <c r="A53" s="376"/>
      <c r="B53" s="422"/>
      <c r="C53" s="382"/>
      <c r="D53" s="386"/>
      <c r="E53" s="520"/>
      <c r="G53" s="683"/>
      <c r="H53" s="684"/>
      <c r="I53" s="685"/>
      <c r="J53" s="686"/>
      <c r="K53" s="605"/>
      <c r="M53" s="742"/>
      <c r="N53" s="866"/>
      <c r="O53" s="865"/>
      <c r="P53" s="386"/>
      <c r="Q53" s="769"/>
      <c r="Y53" s="376"/>
      <c r="Z53" s="422"/>
      <c r="AA53" s="382"/>
      <c r="AB53" s="386"/>
      <c r="AC53" s="731"/>
      <c r="AE53" s="376"/>
      <c r="AF53" s="838" t="s">
        <v>689</v>
      </c>
      <c r="AG53" s="836" t="s">
        <v>688</v>
      </c>
      <c r="AH53" s="837">
        <v>1</v>
      </c>
      <c r="AI53" s="342">
        <v>36.81</v>
      </c>
      <c r="AK53" s="819"/>
      <c r="AL53" s="808" t="s">
        <v>556</v>
      </c>
      <c r="AM53" s="839"/>
      <c r="AN53" s="744"/>
      <c r="AO53" s="342"/>
      <c r="AQ53" s="746"/>
      <c r="AR53" s="747"/>
      <c r="AS53" s="748"/>
      <c r="AT53" s="749"/>
      <c r="AU53" s="591"/>
      <c r="AW53" s="325" t="s">
        <v>155</v>
      </c>
      <c r="AX53" s="326"/>
      <c r="AY53" s="327"/>
      <c r="AZ53" s="378" t="s">
        <v>12</v>
      </c>
      <c r="BA53" s="588">
        <v>11</v>
      </c>
      <c r="BC53" s="338"/>
      <c r="BD53" s="463"/>
      <c r="BE53" s="420"/>
      <c r="BF53" s="421"/>
      <c r="BG53" s="342"/>
      <c r="BI53" s="325" t="s">
        <v>157</v>
      </c>
      <c r="BJ53" s="326"/>
      <c r="BK53" s="327"/>
      <c r="BL53" s="378" t="s">
        <v>12</v>
      </c>
      <c r="BM53" s="379">
        <v>11</v>
      </c>
      <c r="BO53" s="325" t="s">
        <v>150</v>
      </c>
      <c r="BP53" s="326"/>
      <c r="BQ53" s="327"/>
      <c r="BR53" s="378" t="s">
        <v>12</v>
      </c>
      <c r="BS53" s="379">
        <v>11</v>
      </c>
      <c r="BU53" s="325" t="s">
        <v>144</v>
      </c>
      <c r="BV53" s="326"/>
      <c r="BW53" s="327"/>
      <c r="BX53" s="378" t="s">
        <v>12</v>
      </c>
      <c r="BY53" s="379">
        <v>4</v>
      </c>
      <c r="CA53" s="325" t="s">
        <v>601</v>
      </c>
      <c r="CB53" s="326"/>
      <c r="CC53" s="327"/>
      <c r="CD53" s="378" t="s">
        <v>12</v>
      </c>
      <c r="CE53" s="379"/>
    </row>
    <row r="54" spans="1:83" ht="14.1" customHeight="1" thickBot="1" x14ac:dyDescent="0.35">
      <c r="A54" s="376"/>
      <c r="B54" s="422"/>
      <c r="C54" s="382"/>
      <c r="D54" s="386"/>
      <c r="E54" s="520"/>
      <c r="G54" s="683"/>
      <c r="H54" s="684"/>
      <c r="I54" s="685"/>
      <c r="J54" s="686"/>
      <c r="K54" s="605"/>
      <c r="M54" s="742"/>
      <c r="N54" s="866"/>
      <c r="O54" s="865"/>
      <c r="P54" s="386"/>
      <c r="Q54" s="769"/>
      <c r="Y54" s="376"/>
      <c r="Z54" s="422"/>
      <c r="AA54" s="382"/>
      <c r="AB54" s="386"/>
      <c r="AC54" s="731"/>
      <c r="AE54" s="376"/>
      <c r="AF54" s="838" t="s">
        <v>690</v>
      </c>
      <c r="AG54" s="836" t="s">
        <v>688</v>
      </c>
      <c r="AH54" s="837">
        <v>1</v>
      </c>
      <c r="AI54" s="342">
        <v>39.090000000000003</v>
      </c>
      <c r="AK54" s="809"/>
      <c r="AL54" s="840"/>
      <c r="AM54" s="811"/>
      <c r="AN54" s="810"/>
      <c r="AO54" s="342"/>
      <c r="AQ54" s="746"/>
      <c r="AR54" s="747"/>
      <c r="AS54" s="748"/>
      <c r="AT54" s="749"/>
      <c r="AU54" s="591"/>
      <c r="AW54" s="328"/>
      <c r="AX54" s="329"/>
      <c r="AY54" s="381"/>
      <c r="AZ54" s="378" t="s">
        <v>200</v>
      </c>
      <c r="BA54" s="588">
        <v>4</v>
      </c>
      <c r="BC54" s="338"/>
      <c r="BD54" s="463"/>
      <c r="BE54" s="420"/>
      <c r="BF54" s="421"/>
      <c r="BG54" s="342"/>
      <c r="BI54" s="328"/>
      <c r="BJ54" s="329"/>
      <c r="BK54" s="381"/>
      <c r="BL54" s="378" t="s">
        <v>200</v>
      </c>
      <c r="BM54" s="379">
        <v>4</v>
      </c>
      <c r="BO54" s="328"/>
      <c r="BP54" s="329"/>
      <c r="BQ54" s="381"/>
      <c r="BR54" s="378" t="s">
        <v>200</v>
      </c>
      <c r="BS54" s="379">
        <v>4</v>
      </c>
      <c r="BU54" s="328"/>
      <c r="BV54" s="329"/>
      <c r="BW54" s="381"/>
      <c r="BX54" s="378" t="s">
        <v>200</v>
      </c>
      <c r="BY54" s="379">
        <v>4</v>
      </c>
      <c r="CA54" s="328"/>
      <c r="CB54" s="329"/>
      <c r="CC54" s="381"/>
      <c r="CD54" s="378" t="s">
        <v>200</v>
      </c>
      <c r="CE54" s="379"/>
    </row>
    <row r="55" spans="1:83" ht="14.1" customHeight="1" thickBot="1" x14ac:dyDescent="0.35">
      <c r="A55" s="376"/>
      <c r="B55" s="422"/>
      <c r="C55" s="382"/>
      <c r="D55" s="386"/>
      <c r="E55" s="520"/>
      <c r="G55" s="683"/>
      <c r="H55" s="684"/>
      <c r="I55" s="685"/>
      <c r="J55" s="686"/>
      <c r="K55" s="605"/>
      <c r="M55" s="742"/>
      <c r="N55" s="866"/>
      <c r="O55" s="865"/>
      <c r="P55" s="386"/>
      <c r="Q55" s="769"/>
      <c r="Y55" s="376"/>
      <c r="Z55" s="422"/>
      <c r="AA55" s="382"/>
      <c r="AB55" s="386"/>
      <c r="AC55" s="731"/>
      <c r="AE55" s="376"/>
      <c r="AF55" s="838" t="s">
        <v>692</v>
      </c>
      <c r="AG55" s="836" t="s">
        <v>688</v>
      </c>
      <c r="AH55" s="837">
        <v>1</v>
      </c>
      <c r="AI55" s="342">
        <v>11.44</v>
      </c>
      <c r="AK55" s="809"/>
      <c r="AL55" s="810"/>
      <c r="AM55" s="811"/>
      <c r="AN55" s="810"/>
      <c r="AO55" s="342"/>
      <c r="AQ55" s="746"/>
      <c r="AR55" s="747"/>
      <c r="AS55" s="748"/>
      <c r="AT55" s="749"/>
      <c r="AU55" s="591"/>
      <c r="AW55" s="331" t="s">
        <v>239</v>
      </c>
      <c r="AX55" s="508" t="s">
        <v>573</v>
      </c>
      <c r="AY55" s="332"/>
      <c r="AZ55" s="378" t="s">
        <v>201</v>
      </c>
      <c r="BA55" s="589">
        <v>45161</v>
      </c>
      <c r="BC55" s="352"/>
      <c r="BD55" s="726"/>
      <c r="BE55" s="892" t="s">
        <v>45</v>
      </c>
      <c r="BF55" s="892"/>
      <c r="BG55" s="385">
        <f>SUM(BG51:BG54)</f>
        <v>0</v>
      </c>
      <c r="BI55" s="331" t="s">
        <v>239</v>
      </c>
      <c r="BJ55" s="508" t="s">
        <v>658</v>
      </c>
      <c r="BK55" s="332"/>
      <c r="BL55" s="378" t="s">
        <v>201</v>
      </c>
      <c r="BM55" s="380">
        <v>45161</v>
      </c>
      <c r="BO55" s="331" t="s">
        <v>239</v>
      </c>
      <c r="BP55" s="508" t="s">
        <v>625</v>
      </c>
      <c r="BQ55" s="332"/>
      <c r="BR55" s="378" t="s">
        <v>201</v>
      </c>
      <c r="BS55" s="380">
        <v>45161</v>
      </c>
      <c r="BU55" s="331" t="s">
        <v>239</v>
      </c>
      <c r="BV55" s="511" t="s">
        <v>675</v>
      </c>
      <c r="BW55" s="332"/>
      <c r="BX55" s="378" t="s">
        <v>201</v>
      </c>
      <c r="BY55" s="380">
        <v>44951</v>
      </c>
      <c r="CA55" s="331" t="s">
        <v>239</v>
      </c>
      <c r="CB55" s="508" t="s">
        <v>602</v>
      </c>
      <c r="CC55" s="332"/>
      <c r="CD55" s="378" t="s">
        <v>201</v>
      </c>
      <c r="CE55" s="380"/>
    </row>
    <row r="56" spans="1:83" ht="14.1" customHeight="1" thickBot="1" x14ac:dyDescent="0.35">
      <c r="A56" s="376"/>
      <c r="B56" s="422"/>
      <c r="C56" s="382"/>
      <c r="D56" s="386"/>
      <c r="E56" s="520"/>
      <c r="G56" s="683"/>
      <c r="H56" s="684"/>
      <c r="I56" s="685"/>
      <c r="J56" s="686"/>
      <c r="K56" s="605"/>
      <c r="M56" s="742"/>
      <c r="N56" s="386"/>
      <c r="O56" s="865"/>
      <c r="P56" s="386"/>
      <c r="Q56" s="769"/>
      <c r="Y56" s="376"/>
      <c r="Z56" s="422"/>
      <c r="AA56" s="382"/>
      <c r="AB56" s="386"/>
      <c r="AC56" s="731"/>
      <c r="AE56" s="376"/>
      <c r="AF56" s="457"/>
      <c r="AG56" s="836"/>
      <c r="AH56" s="837"/>
      <c r="AI56" s="342"/>
      <c r="AK56" s="809"/>
      <c r="AL56" s="810"/>
      <c r="AM56" s="811"/>
      <c r="AN56" s="810"/>
      <c r="AO56" s="342"/>
      <c r="AQ56" s="746"/>
      <c r="AR56" s="747"/>
      <c r="AS56" s="748"/>
      <c r="AT56" s="749"/>
      <c r="AU56" s="591"/>
      <c r="AW56" s="333" t="s">
        <v>445</v>
      </c>
      <c r="AX56" s="334" t="s">
        <v>202</v>
      </c>
      <c r="AY56" s="335" t="s">
        <v>203</v>
      </c>
      <c r="AZ56" s="336" t="s">
        <v>204</v>
      </c>
      <c r="BA56" s="590" t="s">
        <v>205</v>
      </c>
      <c r="BI56" s="333" t="s">
        <v>445</v>
      </c>
      <c r="BJ56" s="334" t="s">
        <v>202</v>
      </c>
      <c r="BK56" s="335" t="s">
        <v>203</v>
      </c>
      <c r="BL56" s="336" t="s">
        <v>204</v>
      </c>
      <c r="BM56" s="337" t="s">
        <v>205</v>
      </c>
      <c r="BO56" s="333" t="s">
        <v>445</v>
      </c>
      <c r="BP56" s="334" t="s">
        <v>202</v>
      </c>
      <c r="BQ56" s="335" t="s">
        <v>203</v>
      </c>
      <c r="BR56" s="336" t="s">
        <v>204</v>
      </c>
      <c r="BS56" s="337" t="s">
        <v>706</v>
      </c>
      <c r="BU56" s="333" t="s">
        <v>445</v>
      </c>
      <c r="BV56" s="334" t="s">
        <v>202</v>
      </c>
      <c r="BW56" s="335" t="s">
        <v>203</v>
      </c>
      <c r="BX56" s="336" t="s">
        <v>204</v>
      </c>
      <c r="BY56" s="337" t="s">
        <v>205</v>
      </c>
      <c r="CA56" s="333" t="s">
        <v>445</v>
      </c>
      <c r="CB56" s="334" t="s">
        <v>202</v>
      </c>
      <c r="CC56" s="335" t="s">
        <v>203</v>
      </c>
      <c r="CD56" s="336" t="s">
        <v>204</v>
      </c>
      <c r="CE56" s="337" t="s">
        <v>205</v>
      </c>
    </row>
    <row r="57" spans="1:83" ht="14.1" customHeight="1" thickBot="1" x14ac:dyDescent="0.35">
      <c r="A57" s="376"/>
      <c r="B57" s="422"/>
      <c r="C57" s="382"/>
      <c r="D57" s="386"/>
      <c r="E57" s="520"/>
      <c r="G57" s="683"/>
      <c r="H57" s="684"/>
      <c r="I57" s="685"/>
      <c r="J57" s="686"/>
      <c r="K57" s="605"/>
      <c r="M57" s="742"/>
      <c r="N57" s="386"/>
      <c r="O57" s="865"/>
      <c r="P57" s="386"/>
      <c r="Q57" s="769"/>
      <c r="Y57" s="376"/>
      <c r="Z57" s="422"/>
      <c r="AA57" s="382"/>
      <c r="AB57" s="386"/>
      <c r="AC57" s="731"/>
      <c r="AE57" s="376"/>
      <c r="AF57" s="838"/>
      <c r="AG57" s="836"/>
      <c r="AH57" s="837"/>
      <c r="AI57" s="342"/>
      <c r="AK57" s="809"/>
      <c r="AL57" s="810"/>
      <c r="AM57" s="811"/>
      <c r="AN57" s="810"/>
      <c r="AO57" s="689"/>
      <c r="AQ57" s="746"/>
      <c r="AR57" s="747"/>
      <c r="AS57" s="748"/>
      <c r="AT57" s="749"/>
      <c r="AU57" s="591"/>
      <c r="AW57" s="834"/>
      <c r="AX57" s="835" t="s">
        <v>653</v>
      </c>
      <c r="AY57" s="836"/>
      <c r="AZ57" s="837">
        <v>40</v>
      </c>
      <c r="BA57" s="342">
        <v>945.3</v>
      </c>
      <c r="BI57" s="834" t="s">
        <v>556</v>
      </c>
      <c r="BJ57" s="835" t="s">
        <v>684</v>
      </c>
      <c r="BK57" s="836"/>
      <c r="BL57" s="837">
        <v>20</v>
      </c>
      <c r="BM57" s="342">
        <v>498.18</v>
      </c>
      <c r="BO57" s="755" t="s">
        <v>556</v>
      </c>
      <c r="BP57" s="854" t="s">
        <v>611</v>
      </c>
      <c r="BQ57" s="855"/>
      <c r="BR57" s="856">
        <v>160</v>
      </c>
      <c r="BS57" s="342">
        <v>3926.56</v>
      </c>
      <c r="BU57" s="376"/>
      <c r="BV57" s="779"/>
      <c r="BW57" s="780"/>
      <c r="BX57" s="781"/>
      <c r="BY57" s="342"/>
      <c r="CA57" s="755"/>
      <c r="CB57" s="458"/>
      <c r="CC57" s="382"/>
      <c r="CD57" s="386"/>
      <c r="CE57" s="342"/>
    </row>
    <row r="58" spans="1:83" ht="14.1" customHeight="1" thickBot="1" x14ac:dyDescent="0.35">
      <c r="A58" s="376"/>
      <c r="B58" s="422"/>
      <c r="C58" s="382"/>
      <c r="D58" s="386"/>
      <c r="E58" s="520"/>
      <c r="G58" s="683"/>
      <c r="H58" s="684"/>
      <c r="I58" s="685"/>
      <c r="J58" s="686"/>
      <c r="K58" s="605"/>
      <c r="M58" s="742"/>
      <c r="N58" s="422"/>
      <c r="O58" s="382"/>
      <c r="P58" s="386"/>
      <c r="Q58" s="342"/>
      <c r="Y58" s="376"/>
      <c r="Z58" s="422"/>
      <c r="AA58" s="382"/>
      <c r="AB58" s="386"/>
      <c r="AC58" s="731"/>
      <c r="AE58" s="376"/>
      <c r="AF58" s="457"/>
      <c r="AG58" s="382"/>
      <c r="AH58" s="386"/>
      <c r="AI58" s="342"/>
      <c r="AK58" s="809"/>
      <c r="AL58" s="902" t="s">
        <v>736</v>
      </c>
      <c r="AM58" s="811"/>
      <c r="AN58" s="810"/>
      <c r="AO58" s="689">
        <v>22.46</v>
      </c>
      <c r="AQ58" s="746"/>
      <c r="AR58" s="750"/>
      <c r="AS58" s="748"/>
      <c r="AT58" s="749"/>
      <c r="AU58" s="591"/>
      <c r="AW58" s="376"/>
      <c r="AX58" s="838"/>
      <c r="AY58" s="836"/>
      <c r="AZ58" s="837"/>
      <c r="BA58" s="342"/>
      <c r="BC58" s="890" t="s">
        <v>532</v>
      </c>
      <c r="BD58" s="891"/>
      <c r="BE58" s="322"/>
      <c r="BF58" s="383" t="s">
        <v>199</v>
      </c>
      <c r="BG58" s="384"/>
      <c r="BI58" s="834"/>
      <c r="BJ58" s="838" t="s">
        <v>657</v>
      </c>
      <c r="BK58" s="836"/>
      <c r="BL58" s="837">
        <v>16</v>
      </c>
      <c r="BM58" s="342">
        <v>398.54</v>
      </c>
      <c r="BO58" s="376"/>
      <c r="BP58" s="857" t="s">
        <v>649</v>
      </c>
      <c r="BQ58" s="855"/>
      <c r="BR58" s="856">
        <v>4</v>
      </c>
      <c r="BS58" s="342">
        <v>183.13</v>
      </c>
      <c r="BU58" s="376"/>
      <c r="BV58" s="779"/>
      <c r="BW58" s="780"/>
      <c r="BX58" s="781"/>
      <c r="BY58" s="342"/>
      <c r="CA58" s="376"/>
      <c r="CB58" s="457" t="s">
        <v>556</v>
      </c>
      <c r="CC58" s="382"/>
      <c r="CD58" s="386" t="s">
        <v>556</v>
      </c>
      <c r="CE58" s="342"/>
    </row>
    <row r="59" spans="1:83" ht="14.1" customHeight="1" thickBot="1" x14ac:dyDescent="0.35">
      <c r="A59" s="376"/>
      <c r="B59" s="457"/>
      <c r="C59" s="382"/>
      <c r="D59" s="386"/>
      <c r="E59" s="520"/>
      <c r="G59" s="352"/>
      <c r="H59" s="505"/>
      <c r="I59" s="505" t="s">
        <v>45</v>
      </c>
      <c r="J59" s="505"/>
      <c r="K59" s="385">
        <f>SUM(K34:K58)</f>
        <v>328.61</v>
      </c>
      <c r="M59" s="742"/>
      <c r="N59" s="422"/>
      <c r="O59" s="382"/>
      <c r="P59" s="386"/>
      <c r="Q59" s="342"/>
      <c r="Y59" s="376"/>
      <c r="Z59" s="422"/>
      <c r="AA59" s="382"/>
      <c r="AB59" s="386"/>
      <c r="AC59" s="731"/>
      <c r="AE59" s="376"/>
      <c r="AF59" s="457"/>
      <c r="AG59" s="382"/>
      <c r="AH59" s="386"/>
      <c r="AI59" s="342"/>
      <c r="AK59" s="376"/>
      <c r="AL59" s="422" t="s">
        <v>737</v>
      </c>
      <c r="AM59" s="382"/>
      <c r="AN59" s="386"/>
      <c r="AO59" s="591">
        <v>22.46</v>
      </c>
      <c r="AQ59" s="746"/>
      <c r="AR59" s="750"/>
      <c r="AS59" s="748"/>
      <c r="AT59" s="749"/>
      <c r="AU59" s="591"/>
      <c r="AW59" s="338"/>
      <c r="AX59" s="838"/>
      <c r="AY59" s="836"/>
      <c r="AZ59" s="837"/>
      <c r="BA59" s="342"/>
      <c r="BC59" s="325" t="s">
        <v>154</v>
      </c>
      <c r="BD59" s="326"/>
      <c r="BE59" s="327"/>
      <c r="BF59" s="378" t="s">
        <v>12</v>
      </c>
      <c r="BG59" s="379"/>
      <c r="BI59" s="376"/>
      <c r="BJ59" s="838" t="s">
        <v>707</v>
      </c>
      <c r="BK59" s="836"/>
      <c r="BL59" s="837">
        <v>14</v>
      </c>
      <c r="BM59" s="342">
        <v>496.69</v>
      </c>
      <c r="BO59" s="376"/>
      <c r="BP59" s="857" t="s">
        <v>651</v>
      </c>
      <c r="BQ59" s="855"/>
      <c r="BR59" s="856">
        <v>20</v>
      </c>
      <c r="BS59" s="342">
        <v>709.55</v>
      </c>
      <c r="BU59" s="376"/>
      <c r="BV59" s="782"/>
      <c r="BW59" s="780"/>
      <c r="BX59" s="781"/>
      <c r="BY59" s="342"/>
      <c r="CA59" s="376"/>
      <c r="CB59" s="457"/>
      <c r="CC59" s="382"/>
      <c r="CD59" s="386"/>
      <c r="CE59" s="342"/>
    </row>
    <row r="60" spans="1:83" ht="14.1" customHeight="1" thickBot="1" x14ac:dyDescent="0.35">
      <c r="A60" s="376"/>
      <c r="B60" s="457"/>
      <c r="C60" s="382"/>
      <c r="D60" s="386"/>
      <c r="E60" s="520"/>
      <c r="G60" s="701"/>
      <c r="H60" s="701"/>
      <c r="I60" s="701"/>
      <c r="J60" s="701"/>
      <c r="K60" s="373"/>
      <c r="M60" s="742"/>
      <c r="N60" s="422"/>
      <c r="O60" s="382"/>
      <c r="P60" s="386"/>
      <c r="Q60" s="605"/>
      <c r="Y60" s="376"/>
      <c r="Z60" s="422"/>
      <c r="AA60" s="382"/>
      <c r="AB60" s="386"/>
      <c r="AC60" s="731"/>
      <c r="AE60" s="376" t="s">
        <v>556</v>
      </c>
      <c r="AF60" s="457" t="s">
        <v>556</v>
      </c>
      <c r="AG60" s="382" t="s">
        <v>556</v>
      </c>
      <c r="AH60" s="386" t="s">
        <v>556</v>
      </c>
      <c r="AI60" s="342" t="s">
        <v>556</v>
      </c>
      <c r="AK60" s="376"/>
      <c r="AL60" s="422"/>
      <c r="AM60" s="382"/>
      <c r="AN60" s="386"/>
      <c r="AO60" s="591"/>
      <c r="AQ60" s="746"/>
      <c r="AR60" s="750"/>
      <c r="AS60" s="748"/>
      <c r="AT60" s="749"/>
      <c r="AU60" s="591"/>
      <c r="AW60" s="338"/>
      <c r="AX60" s="463"/>
      <c r="AY60" s="420"/>
      <c r="AZ60" s="421"/>
      <c r="BA60" s="591"/>
      <c r="BC60" s="328"/>
      <c r="BD60" s="329"/>
      <c r="BE60" s="381"/>
      <c r="BF60" s="378" t="s">
        <v>200</v>
      </c>
      <c r="BG60" s="379"/>
      <c r="BI60" s="376"/>
      <c r="BJ60" s="458" t="s">
        <v>556</v>
      </c>
      <c r="BK60" s="382"/>
      <c r="BL60" s="386"/>
      <c r="BM60" s="591"/>
      <c r="BO60" s="755" t="s">
        <v>556</v>
      </c>
      <c r="BP60" s="858" t="s">
        <v>695</v>
      </c>
      <c r="BQ60" s="855"/>
      <c r="BR60" s="856">
        <v>2</v>
      </c>
      <c r="BS60" s="342">
        <v>149.55000000000001</v>
      </c>
      <c r="BU60" s="376"/>
      <c r="BV60" s="783"/>
      <c r="BW60" s="780"/>
      <c r="BX60" s="781"/>
      <c r="BY60" s="342"/>
      <c r="CA60" s="755" t="s">
        <v>556</v>
      </c>
      <c r="CB60" s="457" t="s">
        <v>556</v>
      </c>
      <c r="CC60" s="382"/>
      <c r="CD60" s="386"/>
      <c r="CE60" s="342"/>
    </row>
    <row r="61" spans="1:83" ht="14.1" customHeight="1" thickBot="1" x14ac:dyDescent="0.35">
      <c r="A61" s="376"/>
      <c r="B61" s="457"/>
      <c r="C61" s="382"/>
      <c r="D61" s="386"/>
      <c r="E61" s="520"/>
      <c r="G61" s="701"/>
      <c r="H61" s="701"/>
      <c r="I61" s="701"/>
      <c r="J61" s="701"/>
      <c r="K61" s="373"/>
      <c r="M61" s="601"/>
      <c r="N61" s="607"/>
      <c r="O61" s="608"/>
      <c r="P61" s="609"/>
      <c r="Q61" s="605"/>
      <c r="Y61" s="376"/>
      <c r="Z61" s="422"/>
      <c r="AA61" s="382"/>
      <c r="AB61" s="386"/>
      <c r="AC61" s="731"/>
      <c r="AE61" s="338"/>
      <c r="AF61" s="638"/>
      <c r="AG61" s="611"/>
      <c r="AH61" s="585"/>
      <c r="AI61" s="342"/>
      <c r="AK61" s="376"/>
      <c r="AL61" s="422"/>
      <c r="AM61" s="382"/>
      <c r="AN61" s="386"/>
      <c r="AO61" s="591"/>
      <c r="AQ61" s="746"/>
      <c r="AR61" s="750"/>
      <c r="AS61" s="748"/>
      <c r="AT61" s="749"/>
      <c r="AU61" s="591"/>
      <c r="AW61" s="352"/>
      <c r="AX61" s="722"/>
      <c r="AY61" s="892" t="s">
        <v>45</v>
      </c>
      <c r="AZ61" s="892"/>
      <c r="BA61" s="592">
        <f>SUM(BA57:BA60)</f>
        <v>945.3</v>
      </c>
      <c r="BC61" s="331" t="s">
        <v>239</v>
      </c>
      <c r="BD61" s="508" t="s">
        <v>558</v>
      </c>
      <c r="BE61" s="332"/>
      <c r="BF61" s="378" t="s">
        <v>201</v>
      </c>
      <c r="BG61" s="380"/>
      <c r="BI61" s="376"/>
      <c r="BJ61" s="458"/>
      <c r="BK61" s="382"/>
      <c r="BL61" s="386"/>
      <c r="BM61" s="703"/>
      <c r="BO61" s="376"/>
      <c r="BP61" s="857" t="s">
        <v>693</v>
      </c>
      <c r="BQ61" s="855"/>
      <c r="BR61" s="856">
        <v>6</v>
      </c>
      <c r="BS61" s="703">
        <v>240.53</v>
      </c>
      <c r="BU61" s="376"/>
      <c r="BV61" s="457"/>
      <c r="BW61" s="382"/>
      <c r="BX61" s="386"/>
      <c r="BY61" s="703"/>
      <c r="CA61" s="376"/>
      <c r="CB61" s="457" t="s">
        <v>556</v>
      </c>
      <c r="CC61" s="382"/>
      <c r="CD61" s="386" t="s">
        <v>556</v>
      </c>
      <c r="CE61" s="703"/>
    </row>
    <row r="62" spans="1:83" ht="14.1" customHeight="1" thickBot="1" x14ac:dyDescent="0.35">
      <c r="A62" s="376"/>
      <c r="B62" s="457"/>
      <c r="C62" s="382"/>
      <c r="D62" s="386"/>
      <c r="E62" s="520"/>
      <c r="G62" s="701"/>
      <c r="H62" s="701"/>
      <c r="I62" s="701"/>
      <c r="J62" s="701"/>
      <c r="K62" s="373"/>
      <c r="M62" s="601"/>
      <c r="N62" s="607"/>
      <c r="O62" s="608"/>
      <c r="P62" s="609"/>
      <c r="Q62" s="605"/>
      <c r="Y62" s="727"/>
      <c r="Z62" s="728"/>
      <c r="AA62" s="729"/>
      <c r="AB62" s="730"/>
      <c r="AC62" s="731"/>
      <c r="AE62" s="338"/>
      <c r="AF62" s="638"/>
      <c r="AG62" s="611"/>
      <c r="AH62" s="585"/>
      <c r="AI62" s="342"/>
      <c r="AK62" s="376"/>
      <c r="AL62" s="422"/>
      <c r="AM62" s="382"/>
      <c r="AN62" s="386"/>
      <c r="AO62" s="591"/>
      <c r="AQ62" s="746"/>
      <c r="AR62" s="750"/>
      <c r="AS62" s="748"/>
      <c r="AT62" s="749"/>
      <c r="AU62" s="591"/>
      <c r="BC62" s="333" t="s">
        <v>445</v>
      </c>
      <c r="BD62" s="334" t="s">
        <v>202</v>
      </c>
      <c r="BE62" s="335" t="s">
        <v>203</v>
      </c>
      <c r="BF62" s="336" t="s">
        <v>204</v>
      </c>
      <c r="BG62" s="337" t="s">
        <v>205</v>
      </c>
      <c r="BI62" s="376"/>
      <c r="BJ62" s="457"/>
      <c r="BK62" s="382"/>
      <c r="BL62" s="386"/>
      <c r="BM62" s="709"/>
      <c r="BO62" s="376"/>
      <c r="BP62" s="457" t="s">
        <v>705</v>
      </c>
      <c r="BQ62" s="382"/>
      <c r="BR62" s="386"/>
      <c r="BS62" s="709"/>
      <c r="BU62" s="376"/>
      <c r="BV62" s="457"/>
      <c r="BW62" s="382"/>
      <c r="BX62" s="386"/>
      <c r="BY62" s="709"/>
      <c r="CA62" s="376"/>
      <c r="CB62" s="457"/>
      <c r="CC62" s="382"/>
      <c r="CD62" s="386"/>
      <c r="CE62" s="709"/>
    </row>
    <row r="63" spans="1:83" ht="14.1" customHeight="1" thickBot="1" x14ac:dyDescent="0.35">
      <c r="A63" s="376"/>
      <c r="B63" s="457"/>
      <c r="C63" s="382"/>
      <c r="D63" s="386"/>
      <c r="E63" s="520"/>
      <c r="G63" s="701"/>
      <c r="H63" s="701"/>
      <c r="I63" s="701"/>
      <c r="J63" s="701"/>
      <c r="K63" s="373"/>
      <c r="M63" s="601"/>
      <c r="N63" s="607"/>
      <c r="O63" s="608"/>
      <c r="P63" s="609"/>
      <c r="Q63" s="605"/>
      <c r="Y63" s="376"/>
      <c r="Z63" s="422"/>
      <c r="AA63" s="382"/>
      <c r="AB63" s="386"/>
      <c r="AC63" s="731"/>
      <c r="AE63" s="338"/>
      <c r="AF63" s="638"/>
      <c r="AG63" s="611"/>
      <c r="AH63" s="585"/>
      <c r="AI63" s="342"/>
      <c r="AK63" s="376"/>
      <c r="AL63" s="422"/>
      <c r="AM63" s="382"/>
      <c r="AN63" s="386"/>
      <c r="AO63" s="591"/>
      <c r="AQ63" s="746"/>
      <c r="AR63" s="750"/>
      <c r="AS63" s="748"/>
      <c r="AT63" s="749"/>
      <c r="AU63" s="591"/>
      <c r="AW63" s="890" t="s">
        <v>126</v>
      </c>
      <c r="AX63" s="891"/>
      <c r="AY63" s="322"/>
      <c r="AZ63" s="383" t="s">
        <v>199</v>
      </c>
      <c r="BA63" s="587">
        <v>2023</v>
      </c>
      <c r="BC63" s="376"/>
      <c r="BD63" s="835"/>
      <c r="BE63" s="382"/>
      <c r="BF63" s="386"/>
      <c r="BG63" s="696" t="s">
        <v>556</v>
      </c>
      <c r="BI63" s="376"/>
      <c r="BJ63" s="457"/>
      <c r="BK63" s="382"/>
      <c r="BL63" s="386"/>
      <c r="BM63" s="710"/>
      <c r="BO63" s="755" t="s">
        <v>556</v>
      </c>
      <c r="BP63" s="457" t="s">
        <v>525</v>
      </c>
      <c r="BQ63" s="382"/>
      <c r="BR63" s="386">
        <v>10800</v>
      </c>
      <c r="BS63" s="710">
        <v>2103.9499999999998</v>
      </c>
      <c r="BU63" s="376"/>
      <c r="BV63" s="457"/>
      <c r="BW63" s="382"/>
      <c r="BX63" s="386"/>
      <c r="BY63" s="710"/>
      <c r="CA63" s="755" t="s">
        <v>556</v>
      </c>
      <c r="CB63" s="457"/>
      <c r="CC63" s="382"/>
      <c r="CD63" s="386"/>
      <c r="CE63" s="708"/>
    </row>
    <row r="64" spans="1:83" ht="14.1" customHeight="1" thickBot="1" x14ac:dyDescent="0.35">
      <c r="A64" s="376"/>
      <c r="B64" s="457"/>
      <c r="C64" s="382"/>
      <c r="D64" s="386"/>
      <c r="E64" s="520"/>
      <c r="G64" s="505"/>
      <c r="H64" s="505"/>
      <c r="I64" s="505"/>
      <c r="J64" s="505"/>
      <c r="K64" s="373"/>
      <c r="M64" s="352"/>
      <c r="N64" s="676"/>
      <c r="O64" s="892" t="s">
        <v>45</v>
      </c>
      <c r="P64" s="892"/>
      <c r="Q64" s="385">
        <f>SUM(Q46:Q60)</f>
        <v>2316.54</v>
      </c>
      <c r="Y64" s="376"/>
      <c r="Z64" s="458"/>
      <c r="AA64" s="382"/>
      <c r="AB64" s="386"/>
      <c r="AC64" s="731"/>
      <c r="AE64" s="338"/>
      <c r="AF64" s="638"/>
      <c r="AG64" s="611"/>
      <c r="AH64" s="585"/>
      <c r="AI64" s="342"/>
      <c r="AK64" s="338"/>
      <c r="AL64" s="457"/>
      <c r="AM64" s="382"/>
      <c r="AN64" s="386"/>
      <c r="AO64" s="591"/>
      <c r="AQ64" s="746"/>
      <c r="AR64" s="750"/>
      <c r="AS64" s="748"/>
      <c r="AT64" s="749"/>
      <c r="AU64" s="591"/>
      <c r="AW64" s="325" t="s">
        <v>155</v>
      </c>
      <c r="AX64" s="326"/>
      <c r="AY64" s="327"/>
      <c r="AZ64" s="378" t="s">
        <v>12</v>
      </c>
      <c r="BA64" s="588">
        <v>11</v>
      </c>
      <c r="BC64" s="338"/>
      <c r="BD64" s="457"/>
      <c r="BE64" s="420"/>
      <c r="BF64" s="421"/>
      <c r="BG64" s="342"/>
      <c r="BI64" s="376"/>
      <c r="BJ64" s="457"/>
      <c r="BK64" s="382"/>
      <c r="BL64" s="386"/>
      <c r="BM64" s="708"/>
      <c r="BO64" s="376"/>
      <c r="BP64" s="457" t="s">
        <v>652</v>
      </c>
      <c r="BQ64" s="382"/>
      <c r="BR64" s="386">
        <v>20</v>
      </c>
      <c r="BS64" s="708">
        <v>509.22</v>
      </c>
      <c r="BU64" s="376"/>
      <c r="BV64" s="457"/>
      <c r="BW64" s="382"/>
      <c r="BX64" s="386"/>
      <c r="BY64" s="708"/>
      <c r="CA64" s="376"/>
      <c r="CB64" s="457"/>
      <c r="CC64" s="382"/>
      <c r="CD64" s="386"/>
      <c r="CE64" s="708"/>
    </row>
    <row r="65" spans="1:83" ht="14.1" customHeight="1" thickBot="1" x14ac:dyDescent="0.35">
      <c r="A65" s="352"/>
      <c r="B65" s="505"/>
      <c r="C65" s="892" t="s">
        <v>45</v>
      </c>
      <c r="D65" s="892"/>
      <c r="E65" s="385">
        <f>SUM(E34:E64)</f>
        <v>1144.25</v>
      </c>
      <c r="M65" s="331" t="s">
        <v>239</v>
      </c>
      <c r="N65" s="508" t="s">
        <v>628</v>
      </c>
      <c r="O65" s="332"/>
      <c r="P65" s="378" t="s">
        <v>201</v>
      </c>
      <c r="Q65" s="380">
        <v>45168</v>
      </c>
      <c r="Y65" s="376"/>
      <c r="Z65" s="422"/>
      <c r="AA65" s="382"/>
      <c r="AB65" s="386"/>
      <c r="AC65" s="731"/>
      <c r="AE65" s="338"/>
      <c r="AF65" s="638"/>
      <c r="AG65" s="611"/>
      <c r="AH65" s="585"/>
      <c r="AI65" s="342"/>
      <c r="AK65" s="338"/>
      <c r="AL65" s="463"/>
      <c r="AM65" s="420"/>
      <c r="AN65" s="421"/>
      <c r="AO65" s="591"/>
      <c r="AQ65" s="746"/>
      <c r="AR65" s="750"/>
      <c r="AS65" s="748"/>
      <c r="AT65" s="749"/>
      <c r="AU65" s="591"/>
      <c r="AW65" s="328"/>
      <c r="AX65" s="329"/>
      <c r="AY65" s="381"/>
      <c r="AZ65" s="378" t="s">
        <v>200</v>
      </c>
      <c r="BA65" s="588">
        <v>5</v>
      </c>
      <c r="BC65" s="338"/>
      <c r="BD65" s="463"/>
      <c r="BE65" s="420"/>
      <c r="BF65" s="421"/>
      <c r="BG65" s="342"/>
      <c r="BI65" s="705"/>
      <c r="BJ65" s="706"/>
      <c r="BK65" s="707"/>
      <c r="BL65" s="704"/>
      <c r="BM65" s="708"/>
      <c r="BO65" s="705"/>
      <c r="BP65" s="457" t="s">
        <v>556</v>
      </c>
      <c r="BQ65" s="707"/>
      <c r="BR65" s="805"/>
      <c r="BS65" s="708"/>
      <c r="BU65" s="705"/>
      <c r="BV65" s="706"/>
      <c r="BW65" s="707"/>
      <c r="BX65" s="704"/>
      <c r="BY65" s="708"/>
      <c r="CA65" s="705"/>
      <c r="CB65" s="706"/>
      <c r="CC65" s="707"/>
      <c r="CD65" s="704"/>
      <c r="CE65" s="708"/>
    </row>
    <row r="66" spans="1:83" ht="28.2" thickBot="1" x14ac:dyDescent="0.35">
      <c r="A66" s="890" t="s">
        <v>145</v>
      </c>
      <c r="B66" s="891"/>
      <c r="C66" s="322"/>
      <c r="D66" s="383" t="s">
        <v>199</v>
      </c>
      <c r="E66" s="384">
        <v>2023</v>
      </c>
      <c r="G66" s="503" t="s">
        <v>171</v>
      </c>
      <c r="H66" s="504"/>
      <c r="I66" s="322"/>
      <c r="J66" s="383" t="s">
        <v>199</v>
      </c>
      <c r="K66" s="384">
        <v>2023</v>
      </c>
      <c r="M66" s="333" t="s">
        <v>445</v>
      </c>
      <c r="N66" s="334" t="s">
        <v>202</v>
      </c>
      <c r="O66" s="335" t="s">
        <v>203</v>
      </c>
      <c r="P66" s="336" t="s">
        <v>204</v>
      </c>
      <c r="Q66" s="337" t="s">
        <v>205</v>
      </c>
      <c r="Y66" s="376"/>
      <c r="Z66" s="458"/>
      <c r="AA66" s="382"/>
      <c r="AB66" s="386"/>
      <c r="AC66" s="731"/>
      <c r="AE66" s="338"/>
      <c r="AF66" s="638"/>
      <c r="AG66" s="611"/>
      <c r="AH66" s="585"/>
      <c r="AI66" s="342"/>
      <c r="AK66" s="338"/>
      <c r="AL66" s="463"/>
      <c r="AM66" s="420"/>
      <c r="AN66" s="421"/>
      <c r="AO66" s="591"/>
      <c r="AQ66" s="352"/>
      <c r="AR66" s="674"/>
      <c r="AS66" s="892" t="s">
        <v>45</v>
      </c>
      <c r="AT66" s="892"/>
      <c r="AU66" s="592">
        <f>SUM(AU48:AU65)</f>
        <v>1170.3600000000001</v>
      </c>
      <c r="AW66" s="331" t="s">
        <v>239</v>
      </c>
      <c r="AX66" s="508" t="s">
        <v>573</v>
      </c>
      <c r="AY66" s="332"/>
      <c r="AZ66" s="378" t="s">
        <v>201</v>
      </c>
      <c r="BA66" s="589">
        <v>45168</v>
      </c>
      <c r="BC66" s="338"/>
      <c r="BD66" s="463"/>
      <c r="BE66" s="420"/>
      <c r="BF66" s="421"/>
      <c r="BG66" s="342"/>
      <c r="BI66" s="711"/>
      <c r="BJ66" s="712"/>
      <c r="BK66" s="713"/>
      <c r="BL66" s="714"/>
      <c r="BM66" s="715"/>
      <c r="BO66" s="711"/>
      <c r="BP66" s="871" t="s">
        <v>556</v>
      </c>
      <c r="BQ66" s="713"/>
      <c r="BR66" s="806"/>
      <c r="BS66" s="715"/>
      <c r="BU66" s="711"/>
      <c r="BV66" s="712"/>
      <c r="BW66" s="713"/>
      <c r="BX66" s="714"/>
      <c r="BY66" s="715"/>
      <c r="CA66" s="711"/>
      <c r="CB66" s="712"/>
      <c r="CC66" s="713"/>
      <c r="CD66" s="714"/>
      <c r="CE66" s="715"/>
    </row>
    <row r="67" spans="1:83" ht="28.2" thickBot="1" x14ac:dyDescent="0.35">
      <c r="A67" s="325" t="s">
        <v>146</v>
      </c>
      <c r="B67" s="326"/>
      <c r="C67" s="327"/>
      <c r="D67" s="378" t="s">
        <v>12</v>
      </c>
      <c r="E67" s="379">
        <v>11</v>
      </c>
      <c r="G67" s="325" t="s">
        <v>152</v>
      </c>
      <c r="H67" s="326"/>
      <c r="I67" s="327"/>
      <c r="J67" s="378" t="s">
        <v>12</v>
      </c>
      <c r="K67" s="379">
        <v>11</v>
      </c>
      <c r="M67" s="376"/>
      <c r="N67" s="835" t="s">
        <v>659</v>
      </c>
      <c r="O67" s="865"/>
      <c r="P67" s="386">
        <v>22</v>
      </c>
      <c r="Q67" s="769">
        <v>539.9</v>
      </c>
      <c r="Y67" s="376"/>
      <c r="Z67" s="458"/>
      <c r="AA67" s="382"/>
      <c r="AB67" s="386"/>
      <c r="AC67" s="731"/>
      <c r="AE67" s="338"/>
      <c r="AF67" s="610"/>
      <c r="AG67" s="612"/>
      <c r="AH67" s="421"/>
      <c r="AI67" s="342"/>
      <c r="AK67" s="352"/>
      <c r="AL67" s="632"/>
      <c r="AM67" s="892" t="s">
        <v>45</v>
      </c>
      <c r="AN67" s="892"/>
      <c r="AO67" s="592">
        <f>SUM(AO49:AO66)</f>
        <v>664.50000000000011</v>
      </c>
      <c r="AU67" s="593"/>
      <c r="AW67" s="333" t="s">
        <v>445</v>
      </c>
      <c r="AX67" s="334" t="s">
        <v>202</v>
      </c>
      <c r="AY67" s="335" t="s">
        <v>203</v>
      </c>
      <c r="AZ67" s="336" t="s">
        <v>204</v>
      </c>
      <c r="BA67" s="590" t="s">
        <v>205</v>
      </c>
      <c r="BC67" s="352"/>
      <c r="BD67" s="734"/>
      <c r="BE67" s="892" t="s">
        <v>45</v>
      </c>
      <c r="BF67" s="892"/>
      <c r="BG67" s="385">
        <f>SUM(BG63:BG66)</f>
        <v>0</v>
      </c>
      <c r="BI67" s="716"/>
      <c r="BJ67" s="717"/>
      <c r="BK67" s="718"/>
      <c r="BL67" s="720" t="s">
        <v>16</v>
      </c>
      <c r="BM67" s="719">
        <f>SUM(BM57:BM66)</f>
        <v>1393.41</v>
      </c>
      <c r="BO67" s="716"/>
      <c r="BP67" s="717"/>
      <c r="BQ67" s="718"/>
      <c r="BR67" s="720" t="s">
        <v>16</v>
      </c>
      <c r="BS67" s="719">
        <f>SUM(BS57:BS66)</f>
        <v>7822.49</v>
      </c>
      <c r="BU67" s="716"/>
      <c r="BV67" s="717"/>
      <c r="BW67" s="718"/>
      <c r="BX67" s="720" t="s">
        <v>16</v>
      </c>
      <c r="BY67" s="719">
        <f>SUM(BY57:BY66)</f>
        <v>0</v>
      </c>
      <c r="CA67" s="716"/>
      <c r="CB67" s="717"/>
      <c r="CC67" s="718"/>
      <c r="CD67" s="720" t="s">
        <v>16</v>
      </c>
      <c r="CE67" s="719">
        <f>SUM(CE57:CE66)</f>
        <v>0</v>
      </c>
    </row>
    <row r="68" spans="1:83" ht="17.399999999999999" customHeight="1" thickBot="1" x14ac:dyDescent="0.35">
      <c r="A68" s="328"/>
      <c r="B68" s="329"/>
      <c r="C68" s="381"/>
      <c r="D68" s="378" t="s">
        <v>200</v>
      </c>
      <c r="E68" s="379">
        <v>4</v>
      </c>
      <c r="G68" s="328"/>
      <c r="H68" s="329"/>
      <c r="I68" s="381"/>
      <c r="J68" s="378" t="s">
        <v>200</v>
      </c>
      <c r="K68" s="379">
        <v>3</v>
      </c>
      <c r="M68" s="376"/>
      <c r="N68" s="858" t="s">
        <v>660</v>
      </c>
      <c r="O68" s="865"/>
      <c r="P68" s="386">
        <v>12</v>
      </c>
      <c r="Q68" s="769">
        <v>519.16</v>
      </c>
      <c r="Y68" s="376"/>
      <c r="Z68" s="458"/>
      <c r="AA68" s="382"/>
      <c r="AB68" s="386"/>
      <c r="AC68" s="731"/>
      <c r="AE68" s="352"/>
      <c r="AF68" s="741"/>
      <c r="AG68" s="892" t="s">
        <v>45</v>
      </c>
      <c r="AH68" s="892"/>
      <c r="AI68" s="385">
        <f>SUM(AI52:AI67)</f>
        <v>136.42000000000002</v>
      </c>
      <c r="AU68" s="593"/>
      <c r="AW68" s="834"/>
      <c r="AX68" s="835" t="s">
        <v>653</v>
      </c>
      <c r="AY68" s="836"/>
      <c r="AZ68" s="837">
        <v>40</v>
      </c>
      <c r="BA68" s="342">
        <v>945.3</v>
      </c>
    </row>
    <row r="69" spans="1:83" ht="17.399999999999999" thickBot="1" x14ac:dyDescent="0.35">
      <c r="A69" s="331" t="s">
        <v>239</v>
      </c>
      <c r="B69" s="514" t="s">
        <v>631</v>
      </c>
      <c r="C69" s="332"/>
      <c r="D69" s="378" t="s">
        <v>201</v>
      </c>
      <c r="E69" s="380">
        <v>45161</v>
      </c>
      <c r="G69" s="358" t="s">
        <v>239</v>
      </c>
      <c r="H69" s="362" t="s">
        <v>454</v>
      </c>
      <c r="I69" s="332"/>
      <c r="J69" s="378" t="s">
        <v>201</v>
      </c>
      <c r="K69" s="380">
        <v>45154</v>
      </c>
      <c r="M69" s="338"/>
      <c r="N69" s="858" t="s">
        <v>661</v>
      </c>
      <c r="O69" s="865"/>
      <c r="P69" s="386">
        <v>4</v>
      </c>
      <c r="Q69" s="769">
        <v>116.2</v>
      </c>
      <c r="Y69" s="376"/>
      <c r="Z69" s="458"/>
      <c r="AA69" s="382"/>
      <c r="AB69" s="386"/>
      <c r="AC69" s="731"/>
      <c r="AQ69" s="890" t="s">
        <v>169</v>
      </c>
      <c r="AR69" s="891"/>
      <c r="AS69" s="322"/>
      <c r="AT69" s="383" t="s">
        <v>199</v>
      </c>
      <c r="AU69" s="587">
        <v>2023</v>
      </c>
      <c r="AW69" s="376"/>
      <c r="AX69" s="838" t="s">
        <v>556</v>
      </c>
      <c r="AY69" s="836"/>
      <c r="AZ69" s="837"/>
      <c r="BA69" s="342"/>
      <c r="BI69" s="890" t="s">
        <v>156</v>
      </c>
      <c r="BJ69" s="891"/>
      <c r="BK69" s="322"/>
      <c r="BL69" s="383" t="s">
        <v>199</v>
      </c>
      <c r="BM69" s="384">
        <v>2023</v>
      </c>
      <c r="BO69" s="890" t="s">
        <v>557</v>
      </c>
      <c r="BP69" s="891"/>
      <c r="BQ69" s="322"/>
      <c r="BR69" s="383" t="s">
        <v>199</v>
      </c>
      <c r="BS69" s="384">
        <v>2022</v>
      </c>
      <c r="BU69" s="890" t="s">
        <v>143</v>
      </c>
      <c r="BV69" s="891"/>
      <c r="BW69" s="322"/>
      <c r="BX69" s="383" t="s">
        <v>199</v>
      </c>
      <c r="BY69" s="384">
        <v>2023</v>
      </c>
      <c r="CA69" s="890" t="s">
        <v>599</v>
      </c>
      <c r="CB69" s="891"/>
      <c r="CC69" s="322"/>
      <c r="CD69" s="383" t="s">
        <v>199</v>
      </c>
      <c r="CE69" s="384"/>
    </row>
    <row r="70" spans="1:83" ht="41.4" x14ac:dyDescent="0.3">
      <c r="A70" s="333" t="s">
        <v>445</v>
      </c>
      <c r="B70" s="334" t="s">
        <v>202</v>
      </c>
      <c r="C70" s="335" t="s">
        <v>203</v>
      </c>
      <c r="D70" s="336" t="s">
        <v>204</v>
      </c>
      <c r="E70" s="337" t="s">
        <v>205</v>
      </c>
      <c r="G70" s="333" t="s">
        <v>445</v>
      </c>
      <c r="H70" s="334" t="s">
        <v>202</v>
      </c>
      <c r="I70" s="335" t="s">
        <v>203</v>
      </c>
      <c r="J70" s="336" t="s">
        <v>204</v>
      </c>
      <c r="K70" s="337" t="s">
        <v>205</v>
      </c>
      <c r="M70" s="338"/>
      <c r="N70" s="838" t="s">
        <v>662</v>
      </c>
      <c r="O70" s="865"/>
      <c r="P70" s="386">
        <v>14</v>
      </c>
      <c r="Q70" s="769">
        <v>496.69</v>
      </c>
      <c r="Y70" s="643"/>
      <c r="Z70" s="643"/>
      <c r="AA70" s="643"/>
      <c r="AB70" s="644" t="s">
        <v>16</v>
      </c>
      <c r="AC70" s="645">
        <f>SUM(AC33:AC69)</f>
        <v>127.65</v>
      </c>
      <c r="AE70" s="890" t="s">
        <v>138</v>
      </c>
      <c r="AF70" s="896"/>
      <c r="AG70" s="322"/>
      <c r="AH70" s="383" t="s">
        <v>199</v>
      </c>
      <c r="AI70" s="384">
        <v>2023</v>
      </c>
      <c r="AK70" s="890" t="s">
        <v>592</v>
      </c>
      <c r="AL70" s="891"/>
      <c r="AM70" s="322"/>
      <c r="AN70" s="383" t="s">
        <v>199</v>
      </c>
      <c r="AO70" s="587">
        <v>2023</v>
      </c>
      <c r="AQ70" s="325" t="s">
        <v>148</v>
      </c>
      <c r="AR70" s="326"/>
      <c r="AS70" s="327"/>
      <c r="AT70" s="378" t="s">
        <v>12</v>
      </c>
      <c r="AU70" s="588">
        <v>11</v>
      </c>
      <c r="AW70" s="834"/>
      <c r="AX70" s="838"/>
      <c r="AY70" s="836"/>
      <c r="AZ70" s="837"/>
      <c r="BA70" s="342"/>
      <c r="BI70" s="325" t="s">
        <v>157</v>
      </c>
      <c r="BJ70" s="326"/>
      <c r="BK70" s="327"/>
      <c r="BL70" s="378" t="s">
        <v>12</v>
      </c>
      <c r="BM70" s="379">
        <v>11</v>
      </c>
      <c r="BO70" s="325" t="s">
        <v>150</v>
      </c>
      <c r="BP70" s="326"/>
      <c r="BQ70" s="327"/>
      <c r="BR70" s="378" t="s">
        <v>12</v>
      </c>
      <c r="BS70" s="379">
        <v>11</v>
      </c>
      <c r="BU70" s="325" t="s">
        <v>144</v>
      </c>
      <c r="BV70" s="326"/>
      <c r="BW70" s="327"/>
      <c r="BX70" s="378" t="s">
        <v>12</v>
      </c>
      <c r="BY70" s="379">
        <v>3</v>
      </c>
      <c r="CA70" s="325" t="s">
        <v>601</v>
      </c>
      <c r="CB70" s="326"/>
      <c r="CC70" s="327"/>
      <c r="CD70" s="378" t="s">
        <v>12</v>
      </c>
      <c r="CE70" s="379"/>
    </row>
    <row r="71" spans="1:83" ht="15" thickBot="1" x14ac:dyDescent="0.35">
      <c r="A71" s="687"/>
      <c r="B71" s="334"/>
      <c r="C71" s="688"/>
      <c r="D71" s="334"/>
      <c r="E71" s="690"/>
      <c r="G71" s="687"/>
      <c r="H71" s="334"/>
      <c r="I71" s="688"/>
      <c r="J71" s="334"/>
      <c r="K71" s="690"/>
      <c r="M71" s="338"/>
      <c r="N71" s="858" t="s">
        <v>663</v>
      </c>
      <c r="O71" s="865"/>
      <c r="P71" s="386">
        <v>14</v>
      </c>
      <c r="Q71" s="769">
        <v>359.67</v>
      </c>
      <c r="Y71" s="691"/>
      <c r="Z71" s="691"/>
      <c r="AA71" s="691"/>
      <c r="AB71" s="692"/>
      <c r="AC71" s="693"/>
      <c r="AE71" s="325" t="s">
        <v>137</v>
      </c>
      <c r="AF71" s="326"/>
      <c r="AG71" s="327"/>
      <c r="AH71" s="378" t="s">
        <v>12</v>
      </c>
      <c r="AI71" s="379">
        <v>11</v>
      </c>
      <c r="AK71" s="613"/>
      <c r="AL71" s="681"/>
      <c r="AM71" s="329"/>
      <c r="AN71" s="614"/>
      <c r="AO71" s="694"/>
      <c r="AQ71" s="325"/>
      <c r="AR71" s="326"/>
      <c r="AS71" s="327"/>
      <c r="AT71" s="378"/>
      <c r="AU71" s="588" t="s">
        <v>556</v>
      </c>
      <c r="AW71" s="338"/>
      <c r="AX71" s="463"/>
      <c r="AY71" s="420"/>
      <c r="AZ71" s="421"/>
      <c r="BA71" s="591"/>
      <c r="BI71" s="328"/>
      <c r="BJ71" s="329"/>
      <c r="BK71" s="381"/>
      <c r="BL71" s="378" t="s">
        <v>200</v>
      </c>
      <c r="BM71" s="379">
        <v>5</v>
      </c>
      <c r="BO71" s="328"/>
      <c r="BP71" s="329"/>
      <c r="BQ71" s="381"/>
      <c r="BR71" s="378" t="s">
        <v>200</v>
      </c>
      <c r="BS71" s="379">
        <v>5</v>
      </c>
      <c r="BU71" s="328"/>
      <c r="BV71" s="329"/>
      <c r="BW71" s="381"/>
      <c r="BX71" s="378" t="s">
        <v>200</v>
      </c>
      <c r="BY71" s="379">
        <v>1</v>
      </c>
      <c r="CA71" s="328"/>
      <c r="CB71" s="329"/>
      <c r="CC71" s="381"/>
      <c r="CD71" s="378" t="s">
        <v>200</v>
      </c>
      <c r="CE71" s="379"/>
    </row>
    <row r="72" spans="1:83" ht="35.4" thickBot="1" x14ac:dyDescent="0.35">
      <c r="A72" s="376"/>
      <c r="B72" s="422" t="s">
        <v>731</v>
      </c>
      <c r="C72" s="382"/>
      <c r="D72" s="386"/>
      <c r="E72" s="342">
        <v>166.75</v>
      </c>
      <c r="G72" s="365">
        <v>46236</v>
      </c>
      <c r="H72" s="422" t="s">
        <v>447</v>
      </c>
      <c r="I72" s="382"/>
      <c r="J72" s="386">
        <v>120</v>
      </c>
      <c r="K72" s="345">
        <v>23.52</v>
      </c>
      <c r="M72" s="338"/>
      <c r="N72" s="422" t="s">
        <v>742</v>
      </c>
      <c r="O72" s="382"/>
      <c r="P72" s="386"/>
      <c r="Q72" s="769">
        <v>161.91999999999999</v>
      </c>
      <c r="AE72" s="328"/>
      <c r="AF72" s="329"/>
      <c r="AG72" s="381"/>
      <c r="AH72" s="378" t="s">
        <v>200</v>
      </c>
      <c r="AI72" s="379">
        <v>4</v>
      </c>
      <c r="AK72" s="325" t="s">
        <v>159</v>
      </c>
      <c r="AL72" s="326"/>
      <c r="AM72" s="327"/>
      <c r="AN72" s="378" t="s">
        <v>12</v>
      </c>
      <c r="AO72" s="588">
        <v>11</v>
      </c>
      <c r="AQ72" s="328"/>
      <c r="AR72" s="329"/>
      <c r="AS72" s="381"/>
      <c r="AT72" s="378" t="s">
        <v>200</v>
      </c>
      <c r="AU72" s="791" t="s">
        <v>683</v>
      </c>
      <c r="AW72" s="352"/>
      <c r="AX72" s="771"/>
      <c r="AY72" s="892" t="s">
        <v>45</v>
      </c>
      <c r="AZ72" s="892"/>
      <c r="BA72" s="592">
        <f>SUM(BA68:BA71)</f>
        <v>945.3</v>
      </c>
      <c r="BI72" s="331" t="s">
        <v>239</v>
      </c>
      <c r="BJ72" s="508" t="s">
        <v>658</v>
      </c>
      <c r="BK72" s="332"/>
      <c r="BL72" s="378" t="s">
        <v>201</v>
      </c>
      <c r="BM72" s="380">
        <v>45168</v>
      </c>
      <c r="BO72" s="331" t="s">
        <v>239</v>
      </c>
      <c r="BP72" s="508" t="s">
        <v>625</v>
      </c>
      <c r="BQ72" s="332"/>
      <c r="BR72" s="378" t="s">
        <v>201</v>
      </c>
      <c r="BS72" s="380">
        <v>45168</v>
      </c>
      <c r="BU72" s="331" t="s">
        <v>239</v>
      </c>
      <c r="BV72" s="508" t="s">
        <v>556</v>
      </c>
      <c r="BW72" s="332"/>
      <c r="BX72" s="378" t="s">
        <v>201</v>
      </c>
      <c r="BY72" s="380">
        <v>44895</v>
      </c>
      <c r="CA72" s="331" t="s">
        <v>239</v>
      </c>
      <c r="CB72" s="508" t="s">
        <v>602</v>
      </c>
      <c r="CC72" s="332"/>
      <c r="CD72" s="378" t="s">
        <v>201</v>
      </c>
      <c r="CE72" s="380"/>
    </row>
    <row r="73" spans="1:83" ht="42" thickBot="1" x14ac:dyDescent="0.35">
      <c r="A73" s="376"/>
      <c r="B73" s="458" t="s">
        <v>732</v>
      </c>
      <c r="C73" s="382"/>
      <c r="D73" s="386"/>
      <c r="E73" s="342">
        <v>138</v>
      </c>
      <c r="G73" s="365">
        <v>46236</v>
      </c>
      <c r="H73" s="457" t="s">
        <v>448</v>
      </c>
      <c r="I73" s="382"/>
      <c r="J73" s="386">
        <v>120</v>
      </c>
      <c r="K73" s="345">
        <v>23.52</v>
      </c>
      <c r="M73" s="352"/>
      <c r="N73" s="505"/>
      <c r="O73" s="505" t="s">
        <v>45</v>
      </c>
      <c r="P73" s="386"/>
      <c r="Q73" s="769">
        <f>SUM(Q67:Q72)</f>
        <v>2193.54</v>
      </c>
      <c r="AE73" s="331" t="s">
        <v>239</v>
      </c>
      <c r="AF73" s="800" t="s">
        <v>620</v>
      </c>
      <c r="AG73" s="332"/>
      <c r="AH73" s="378" t="s">
        <v>201</v>
      </c>
      <c r="AI73" s="380">
        <v>45161</v>
      </c>
      <c r="AK73" s="325"/>
      <c r="AL73" s="326"/>
      <c r="AM73" s="327"/>
      <c r="AN73" s="378"/>
      <c r="AO73" s="588"/>
      <c r="AQ73" s="331" t="s">
        <v>239</v>
      </c>
      <c r="AR73" s="508" t="s">
        <v>569</v>
      </c>
      <c r="AS73" s="332"/>
      <c r="AT73" s="378" t="s">
        <v>201</v>
      </c>
      <c r="AU73" s="589">
        <v>45168</v>
      </c>
      <c r="BI73" s="333" t="s">
        <v>445</v>
      </c>
      <c r="BJ73" s="334" t="s">
        <v>202</v>
      </c>
      <c r="BK73" s="335" t="s">
        <v>203</v>
      </c>
      <c r="BL73" s="336" t="s">
        <v>204</v>
      </c>
      <c r="BM73" s="337" t="s">
        <v>205</v>
      </c>
      <c r="BO73" s="333" t="s">
        <v>445</v>
      </c>
      <c r="BP73" s="334" t="s">
        <v>202</v>
      </c>
      <c r="BQ73" s="335" t="s">
        <v>203</v>
      </c>
      <c r="BR73" s="336" t="s">
        <v>204</v>
      </c>
      <c r="BS73" s="337" t="s">
        <v>205</v>
      </c>
      <c r="BU73" s="333" t="s">
        <v>445</v>
      </c>
      <c r="BV73" s="334" t="s">
        <v>202</v>
      </c>
      <c r="BW73" s="335" t="s">
        <v>203</v>
      </c>
      <c r="BX73" s="336" t="s">
        <v>204</v>
      </c>
      <c r="BY73" s="337" t="s">
        <v>205</v>
      </c>
      <c r="CA73" s="333" t="s">
        <v>445</v>
      </c>
      <c r="CB73" s="334" t="s">
        <v>202</v>
      </c>
      <c r="CC73" s="335" t="s">
        <v>203</v>
      </c>
      <c r="CD73" s="336" t="s">
        <v>204</v>
      </c>
      <c r="CE73" s="337" t="s">
        <v>205</v>
      </c>
    </row>
    <row r="74" spans="1:83" ht="28.2" thickBot="1" x14ac:dyDescent="0.35">
      <c r="A74" s="376"/>
      <c r="B74" s="457"/>
      <c r="C74" s="382"/>
      <c r="D74" s="386"/>
      <c r="E74" s="351"/>
      <c r="G74" s="365">
        <v>46236</v>
      </c>
      <c r="H74" s="422" t="s">
        <v>447</v>
      </c>
      <c r="I74" s="382"/>
      <c r="J74" s="386">
        <v>120</v>
      </c>
      <c r="K74" s="345">
        <v>23.52</v>
      </c>
      <c r="Y74" s="890" t="s">
        <v>478</v>
      </c>
      <c r="Z74" s="891"/>
      <c r="AA74" s="322"/>
      <c r="AB74" s="383" t="s">
        <v>199</v>
      </c>
      <c r="AC74" s="384">
        <v>2023</v>
      </c>
      <c r="AE74" s="333" t="s">
        <v>445</v>
      </c>
      <c r="AF74" s="334" t="s">
        <v>202</v>
      </c>
      <c r="AG74" s="335" t="s">
        <v>203</v>
      </c>
      <c r="AH74" s="336" t="s">
        <v>204</v>
      </c>
      <c r="AI74" s="337" t="s">
        <v>205</v>
      </c>
      <c r="AK74" s="328"/>
      <c r="AL74" s="329"/>
      <c r="AM74" s="381"/>
      <c r="AN74" s="378" t="s">
        <v>200</v>
      </c>
      <c r="AO74" s="588">
        <v>4</v>
      </c>
      <c r="AQ74" s="333" t="s">
        <v>445</v>
      </c>
      <c r="AR74" s="334" t="s">
        <v>202</v>
      </c>
      <c r="AS74" s="335" t="s">
        <v>203</v>
      </c>
      <c r="AT74" s="336" t="s">
        <v>204</v>
      </c>
      <c r="AU74" s="590" t="s">
        <v>205</v>
      </c>
      <c r="AW74" s="890" t="s">
        <v>126</v>
      </c>
      <c r="AX74" s="891"/>
      <c r="AY74" s="322"/>
      <c r="AZ74" s="383" t="s">
        <v>199</v>
      </c>
      <c r="BA74" s="587" t="s">
        <v>556</v>
      </c>
      <c r="BI74" s="834" t="s">
        <v>556</v>
      </c>
      <c r="BJ74" s="835" t="s">
        <v>684</v>
      </c>
      <c r="BK74" s="836"/>
      <c r="BL74" s="837">
        <v>20</v>
      </c>
      <c r="BM74" s="342">
        <v>498.18</v>
      </c>
      <c r="BO74" s="755" t="s">
        <v>556</v>
      </c>
      <c r="BP74" s="854" t="s">
        <v>611</v>
      </c>
      <c r="BQ74" s="855"/>
      <c r="BR74" s="856">
        <v>80</v>
      </c>
      <c r="BS74" s="342">
        <v>1963.28</v>
      </c>
      <c r="BU74" s="376"/>
      <c r="BV74" s="779"/>
      <c r="BW74" s="780"/>
      <c r="BX74" s="781"/>
      <c r="BY74" s="342"/>
      <c r="CA74" s="755" t="s">
        <v>556</v>
      </c>
      <c r="CB74" s="458"/>
      <c r="CC74" s="382"/>
      <c r="CD74" s="386"/>
      <c r="CE74" s="342"/>
    </row>
    <row r="75" spans="1:83" ht="27" thickBot="1" x14ac:dyDescent="0.35">
      <c r="A75" s="376"/>
      <c r="B75" s="457"/>
      <c r="C75" s="382"/>
      <c r="D75" s="386"/>
      <c r="E75" s="342"/>
      <c r="G75" s="365">
        <v>46236</v>
      </c>
      <c r="H75" s="457" t="s">
        <v>449</v>
      </c>
      <c r="I75" s="382"/>
      <c r="J75" s="386">
        <v>120</v>
      </c>
      <c r="K75" s="345">
        <v>23.52</v>
      </c>
      <c r="M75" s="890" t="s">
        <v>452</v>
      </c>
      <c r="N75" s="891"/>
      <c r="O75" s="322"/>
      <c r="P75" s="383" t="s">
        <v>199</v>
      </c>
      <c r="Q75" s="384">
        <v>2023</v>
      </c>
      <c r="Y75" s="325" t="s">
        <v>140</v>
      </c>
      <c r="Z75" s="326"/>
      <c r="AA75" s="327"/>
      <c r="AB75" s="378" t="s">
        <v>12</v>
      </c>
      <c r="AC75" s="379">
        <v>11</v>
      </c>
      <c r="AE75" s="376" t="s">
        <v>556</v>
      </c>
      <c r="AF75" s="838" t="s">
        <v>687</v>
      </c>
      <c r="AG75" s="836" t="s">
        <v>688</v>
      </c>
      <c r="AH75" s="837">
        <v>2</v>
      </c>
      <c r="AI75" s="342">
        <v>49.08</v>
      </c>
      <c r="AK75" s="331" t="s">
        <v>239</v>
      </c>
      <c r="AL75" s="802" t="s">
        <v>621</v>
      </c>
      <c r="AM75" s="332"/>
      <c r="AN75" s="378" t="s">
        <v>201</v>
      </c>
      <c r="AO75" s="589">
        <v>37491</v>
      </c>
      <c r="AQ75" s="376"/>
      <c r="AR75" s="457" t="s">
        <v>646</v>
      </c>
      <c r="AS75" s="382"/>
      <c r="AT75" s="386">
        <v>9</v>
      </c>
      <c r="AU75" s="591">
        <v>389.37</v>
      </c>
      <c r="AW75" s="325" t="s">
        <v>155</v>
      </c>
      <c r="AX75" s="326"/>
      <c r="AY75" s="327"/>
      <c r="AZ75" s="378" t="s">
        <v>12</v>
      </c>
      <c r="BA75" s="588" t="s">
        <v>556</v>
      </c>
      <c r="BI75" s="834"/>
      <c r="BJ75" s="838" t="s">
        <v>657</v>
      </c>
      <c r="BK75" s="836"/>
      <c r="BL75" s="837">
        <v>16</v>
      </c>
      <c r="BM75" s="342">
        <v>398.54</v>
      </c>
      <c r="BO75" s="376"/>
      <c r="BP75" s="857" t="s">
        <v>649</v>
      </c>
      <c r="BQ75" s="855"/>
      <c r="BR75" s="856">
        <v>0</v>
      </c>
      <c r="BS75" s="342">
        <v>0</v>
      </c>
      <c r="BU75" s="376"/>
      <c r="BV75" s="782"/>
      <c r="BW75" s="780"/>
      <c r="BX75" s="781"/>
      <c r="BY75" s="342"/>
      <c r="CA75" s="376"/>
      <c r="CB75" s="457" t="s">
        <v>556</v>
      </c>
      <c r="CC75" s="382"/>
      <c r="CD75" s="386" t="s">
        <v>556</v>
      </c>
      <c r="CE75" s="342"/>
    </row>
    <row r="76" spans="1:83" ht="28.2" thickBot="1" x14ac:dyDescent="0.35">
      <c r="A76" s="376"/>
      <c r="B76" s="457"/>
      <c r="C76" s="382"/>
      <c r="D76" s="386"/>
      <c r="E76" s="351"/>
      <c r="G76" s="365">
        <v>46236</v>
      </c>
      <c r="H76" s="422" t="s">
        <v>447</v>
      </c>
      <c r="I76" s="382"/>
      <c r="J76" s="386">
        <v>120</v>
      </c>
      <c r="K76" s="345">
        <v>23.52</v>
      </c>
      <c r="M76" s="325" t="s">
        <v>161</v>
      </c>
      <c r="N76" s="326"/>
      <c r="O76" s="327"/>
      <c r="P76" s="378" t="s">
        <v>12</v>
      </c>
      <c r="Q76" s="379">
        <v>11</v>
      </c>
      <c r="Y76" s="328"/>
      <c r="Z76" s="329"/>
      <c r="AA76" s="381"/>
      <c r="AB76" s="378" t="s">
        <v>200</v>
      </c>
      <c r="AC76" s="379">
        <v>3</v>
      </c>
      <c r="AE76" s="376"/>
      <c r="AF76" s="838" t="s">
        <v>689</v>
      </c>
      <c r="AG76" s="836" t="s">
        <v>688</v>
      </c>
      <c r="AH76" s="837">
        <v>1</v>
      </c>
      <c r="AI76" s="342">
        <v>32.880000000000003</v>
      </c>
      <c r="AK76" s="333" t="s">
        <v>445</v>
      </c>
      <c r="AL76" s="334" t="s">
        <v>202</v>
      </c>
      <c r="AM76" s="335" t="s">
        <v>203</v>
      </c>
      <c r="AN76" s="336" t="s">
        <v>204</v>
      </c>
      <c r="AO76" s="590" t="s">
        <v>205</v>
      </c>
      <c r="AQ76" s="376"/>
      <c r="AR76" s="458" t="s">
        <v>647</v>
      </c>
      <c r="AS76" s="382"/>
      <c r="AT76" s="386">
        <v>9</v>
      </c>
      <c r="AU76" s="591">
        <v>319.3</v>
      </c>
      <c r="AW76" s="328"/>
      <c r="AX76" s="329"/>
      <c r="AY76" s="381"/>
      <c r="AZ76" s="378" t="s">
        <v>200</v>
      </c>
      <c r="BA76" s="588" t="s">
        <v>556</v>
      </c>
      <c r="BI76" s="376"/>
      <c r="BJ76" s="838" t="s">
        <v>707</v>
      </c>
      <c r="BK76" s="836"/>
      <c r="BL76" s="837">
        <v>14</v>
      </c>
      <c r="BM76" s="342">
        <v>496.69</v>
      </c>
      <c r="BO76" s="376"/>
      <c r="BP76" s="858" t="s">
        <v>651</v>
      </c>
      <c r="BQ76" s="855"/>
      <c r="BR76" s="856">
        <v>15</v>
      </c>
      <c r="BS76" s="342">
        <v>532.16</v>
      </c>
      <c r="BU76" s="376"/>
      <c r="BV76" s="782"/>
      <c r="BW76" s="780"/>
      <c r="BX76" s="781"/>
      <c r="BY76" s="342"/>
      <c r="CA76" s="376"/>
      <c r="CB76" s="457"/>
      <c r="CC76" s="382"/>
      <c r="CD76" s="386"/>
      <c r="CE76" s="342"/>
    </row>
    <row r="77" spans="1:83" ht="27" thickBot="1" x14ac:dyDescent="0.35">
      <c r="A77" s="376"/>
      <c r="B77" s="457"/>
      <c r="C77" s="382"/>
      <c r="D77" s="386"/>
      <c r="E77" s="351"/>
      <c r="G77" s="365">
        <v>46236</v>
      </c>
      <c r="H77" s="457" t="s">
        <v>448</v>
      </c>
      <c r="I77" s="382"/>
      <c r="J77" s="386">
        <v>120</v>
      </c>
      <c r="K77" s="345">
        <v>23.52</v>
      </c>
      <c r="M77" s="328"/>
      <c r="N77" s="329"/>
      <c r="O77" s="381"/>
      <c r="P77" s="378" t="s">
        <v>200</v>
      </c>
      <c r="Q77" s="379" t="s">
        <v>694</v>
      </c>
      <c r="Y77" s="331" t="s">
        <v>239</v>
      </c>
      <c r="Z77" s="775" t="s">
        <v>666</v>
      </c>
      <c r="AA77" s="332"/>
      <c r="AB77" s="378" t="s">
        <v>201</v>
      </c>
      <c r="AC77" s="380">
        <v>45154</v>
      </c>
      <c r="AE77" s="376"/>
      <c r="AF77" s="838" t="s">
        <v>690</v>
      </c>
      <c r="AG77" s="836" t="s">
        <v>688</v>
      </c>
      <c r="AH77" s="837">
        <v>1</v>
      </c>
      <c r="AI77" s="342">
        <v>26.16</v>
      </c>
      <c r="AK77" s="376"/>
      <c r="AL77" s="835" t="s">
        <v>708</v>
      </c>
      <c r="AM77" s="836">
        <v>14</v>
      </c>
      <c r="AN77" s="837"/>
      <c r="AO77" s="342">
        <v>436.63</v>
      </c>
      <c r="AQ77" s="376"/>
      <c r="AR77" s="458" t="s">
        <v>648</v>
      </c>
      <c r="AS77" s="382"/>
      <c r="AT77" s="386">
        <v>27</v>
      </c>
      <c r="AU77" s="591">
        <v>656.09</v>
      </c>
      <c r="AW77" s="331" t="s">
        <v>239</v>
      </c>
      <c r="AX77" s="508" t="s">
        <v>556</v>
      </c>
      <c r="AY77" s="332"/>
      <c r="AZ77" s="378" t="s">
        <v>201</v>
      </c>
      <c r="BA77" s="589" t="s">
        <v>556</v>
      </c>
      <c r="BI77" s="376"/>
      <c r="BJ77" s="458" t="s">
        <v>556</v>
      </c>
      <c r="BK77" s="382"/>
      <c r="BL77" s="386"/>
      <c r="BM77" s="342"/>
      <c r="BO77" s="755" t="s">
        <v>556</v>
      </c>
      <c r="BP77" s="858" t="s">
        <v>652</v>
      </c>
      <c r="BQ77" s="855"/>
      <c r="BR77" s="856">
        <v>10</v>
      </c>
      <c r="BS77" s="342">
        <v>254.61</v>
      </c>
      <c r="BU77" s="376"/>
      <c r="BV77" s="783"/>
      <c r="BW77" s="780"/>
      <c r="BX77" s="781"/>
      <c r="BY77" s="342"/>
      <c r="CA77" s="755" t="s">
        <v>556</v>
      </c>
      <c r="CB77" s="457" t="s">
        <v>556</v>
      </c>
      <c r="CC77" s="382"/>
      <c r="CD77" s="386"/>
      <c r="CE77" s="342"/>
    </row>
    <row r="78" spans="1:83" ht="28.2" thickBot="1" x14ac:dyDescent="0.35">
      <c r="A78" s="376"/>
      <c r="B78" s="457"/>
      <c r="C78" s="382"/>
      <c r="D78" s="386"/>
      <c r="E78" s="520"/>
      <c r="G78" s="365">
        <v>46236</v>
      </c>
      <c r="H78" s="422" t="s">
        <v>447</v>
      </c>
      <c r="I78" s="382"/>
      <c r="J78" s="386">
        <v>120</v>
      </c>
      <c r="K78" s="345">
        <v>23.52</v>
      </c>
      <c r="M78" s="331" t="s">
        <v>239</v>
      </c>
      <c r="N78" s="508" t="s">
        <v>628</v>
      </c>
      <c r="O78" s="332"/>
      <c r="P78" s="378" t="s">
        <v>201</v>
      </c>
      <c r="Q78" s="380">
        <v>45168</v>
      </c>
      <c r="Y78" s="333" t="s">
        <v>445</v>
      </c>
      <c r="Z78" s="334" t="s">
        <v>202</v>
      </c>
      <c r="AA78" s="335" t="s">
        <v>203</v>
      </c>
      <c r="AB78" s="336" t="s">
        <v>204</v>
      </c>
      <c r="AC78" s="337" t="s">
        <v>205</v>
      </c>
      <c r="AE78" s="376"/>
      <c r="AF78" s="838" t="s">
        <v>692</v>
      </c>
      <c r="AG78" s="836" t="s">
        <v>688</v>
      </c>
      <c r="AH78" s="837">
        <v>1</v>
      </c>
      <c r="AI78" s="342">
        <v>9.82</v>
      </c>
      <c r="AK78" s="819"/>
      <c r="AL78" s="838" t="s">
        <v>709</v>
      </c>
      <c r="AM78" s="836">
        <v>2</v>
      </c>
      <c r="AN78" s="837"/>
      <c r="AO78" s="342">
        <v>86.53</v>
      </c>
      <c r="AQ78" s="338"/>
      <c r="AR78" s="463"/>
      <c r="AS78" s="420"/>
      <c r="AT78" s="421"/>
      <c r="AU78" s="591"/>
      <c r="AW78" s="333" t="s">
        <v>445</v>
      </c>
      <c r="AX78" s="334" t="s">
        <v>202</v>
      </c>
      <c r="AY78" s="335" t="s">
        <v>203</v>
      </c>
      <c r="AZ78" s="336" t="s">
        <v>204</v>
      </c>
      <c r="BA78" s="590" t="s">
        <v>205</v>
      </c>
      <c r="BI78" s="376"/>
      <c r="BJ78" s="457"/>
      <c r="BK78" s="382"/>
      <c r="BL78" s="386"/>
      <c r="BM78" s="703"/>
      <c r="BO78" s="376"/>
      <c r="BP78" s="857"/>
      <c r="BQ78" s="855"/>
      <c r="BR78" s="856"/>
      <c r="BS78" s="703"/>
      <c r="BU78" s="376"/>
      <c r="BV78" s="779"/>
      <c r="BW78" s="780"/>
      <c r="BX78" s="781"/>
      <c r="BY78" s="342"/>
      <c r="CA78" s="376"/>
      <c r="CB78" s="457" t="s">
        <v>556</v>
      </c>
      <c r="CC78" s="382"/>
      <c r="CD78" s="386" t="s">
        <v>556</v>
      </c>
      <c r="CE78" s="703"/>
    </row>
    <row r="79" spans="1:83" ht="28.2" thickBot="1" x14ac:dyDescent="0.35">
      <c r="A79" s="376"/>
      <c r="B79" s="457"/>
      <c r="C79" s="382"/>
      <c r="D79" s="386"/>
      <c r="E79" s="520"/>
      <c r="G79" s="365">
        <v>46236</v>
      </c>
      <c r="H79" s="457" t="s">
        <v>450</v>
      </c>
      <c r="I79" s="382"/>
      <c r="J79" s="386">
        <v>120</v>
      </c>
      <c r="K79" s="345">
        <v>23.52</v>
      </c>
      <c r="M79" s="333" t="s">
        <v>445</v>
      </c>
      <c r="N79" s="334" t="s">
        <v>202</v>
      </c>
      <c r="O79" s="335" t="s">
        <v>203</v>
      </c>
      <c r="P79" s="336" t="s">
        <v>204</v>
      </c>
      <c r="Q79" s="337" t="s">
        <v>205</v>
      </c>
      <c r="Y79" s="376"/>
      <c r="Z79" s="422" t="s">
        <v>718</v>
      </c>
      <c r="AA79" s="382"/>
      <c r="AB79" s="386"/>
      <c r="AC79" s="769">
        <v>289.14</v>
      </c>
      <c r="AE79" s="376"/>
      <c r="AF79" s="838" t="s">
        <v>714</v>
      </c>
      <c r="AG79" s="836" t="s">
        <v>715</v>
      </c>
      <c r="AH79" s="837">
        <v>2</v>
      </c>
      <c r="AI79" s="342">
        <v>41.23</v>
      </c>
      <c r="AK79" s="819"/>
      <c r="AL79" s="838" t="s">
        <v>657</v>
      </c>
      <c r="AM79" s="836">
        <v>2</v>
      </c>
      <c r="AN79" s="837"/>
      <c r="AO79" s="342">
        <v>70.959999999999994</v>
      </c>
      <c r="AQ79" s="352"/>
      <c r="AR79" s="674"/>
      <c r="AS79" s="892" t="s">
        <v>45</v>
      </c>
      <c r="AT79" s="892"/>
      <c r="AU79" s="592">
        <f>SUM(AU75:AU78)</f>
        <v>1364.7600000000002</v>
      </c>
      <c r="AW79" s="376" t="s">
        <v>556</v>
      </c>
      <c r="AX79" s="422" t="s">
        <v>556</v>
      </c>
      <c r="AY79" s="382" t="s">
        <v>556</v>
      </c>
      <c r="AZ79" s="386" t="s">
        <v>556</v>
      </c>
      <c r="BA79" s="725" t="s">
        <v>556</v>
      </c>
      <c r="BI79" s="376"/>
      <c r="BJ79" s="457"/>
      <c r="BK79" s="382"/>
      <c r="BL79" s="386"/>
      <c r="BM79" s="709"/>
      <c r="BO79" s="376"/>
      <c r="BP79" s="457"/>
      <c r="BQ79" s="382"/>
      <c r="BR79" s="386"/>
      <c r="BS79" s="709"/>
      <c r="BU79" s="376"/>
      <c r="BV79" s="782"/>
      <c r="BW79" s="780"/>
      <c r="BX79" s="781"/>
      <c r="BY79" s="342"/>
      <c r="CA79" s="376"/>
      <c r="CB79" s="457"/>
      <c r="CC79" s="382"/>
      <c r="CD79" s="386"/>
      <c r="CE79" s="709"/>
    </row>
    <row r="80" spans="1:83" ht="17.399999999999999" customHeight="1" thickBot="1" x14ac:dyDescent="0.35">
      <c r="A80" s="376"/>
      <c r="B80" s="457"/>
      <c r="C80" s="382"/>
      <c r="D80" s="386"/>
      <c r="E80" s="520"/>
      <c r="G80" s="365">
        <v>46236</v>
      </c>
      <c r="H80" s="422" t="s">
        <v>447</v>
      </c>
      <c r="I80" s="382"/>
      <c r="J80" s="386">
        <v>120</v>
      </c>
      <c r="K80" s="345">
        <v>23.52</v>
      </c>
      <c r="M80" s="376"/>
      <c r="N80" s="835" t="s">
        <v>738</v>
      </c>
      <c r="O80" s="865"/>
      <c r="P80" s="386"/>
      <c r="Q80" s="769">
        <v>80.430000000000007</v>
      </c>
      <c r="Y80" s="376"/>
      <c r="Z80" s="457"/>
      <c r="AA80" s="382"/>
      <c r="AB80" s="386"/>
      <c r="AC80" s="769"/>
      <c r="AE80" s="376"/>
      <c r="AF80" s="838"/>
      <c r="AG80" s="836"/>
      <c r="AH80" s="837"/>
      <c r="AI80" s="342"/>
      <c r="AK80" s="338"/>
      <c r="AL80" s="745" t="s">
        <v>652</v>
      </c>
      <c r="AM80" s="811">
        <v>1</v>
      </c>
      <c r="AN80" s="840"/>
      <c r="AO80" s="591">
        <v>25.46</v>
      </c>
      <c r="AU80" s="593"/>
      <c r="AW80" s="376" t="s">
        <v>556</v>
      </c>
      <c r="AX80" s="457" t="s">
        <v>556</v>
      </c>
      <c r="AY80" s="382" t="s">
        <v>556</v>
      </c>
      <c r="AZ80" s="386"/>
      <c r="BA80" s="591"/>
      <c r="BI80" s="376"/>
      <c r="BJ80" s="457"/>
      <c r="BK80" s="382"/>
      <c r="BL80" s="386"/>
      <c r="BM80" s="710"/>
      <c r="BO80" s="755"/>
      <c r="BP80" s="457" t="s">
        <v>525</v>
      </c>
      <c r="BQ80" s="382"/>
      <c r="BR80" s="386">
        <v>12000</v>
      </c>
      <c r="BS80" s="710">
        <v>2337.7199999999998</v>
      </c>
      <c r="BU80" s="376"/>
      <c r="BV80" s="782"/>
      <c r="BW80" s="780"/>
      <c r="BX80" s="781"/>
      <c r="BY80" s="342"/>
      <c r="CA80" s="755"/>
      <c r="CB80" s="457"/>
      <c r="CC80" s="382"/>
      <c r="CD80" s="386"/>
      <c r="CE80" s="708"/>
    </row>
    <row r="81" spans="1:83" ht="15" thickBot="1" x14ac:dyDescent="0.35">
      <c r="A81" s="376"/>
      <c r="B81" s="457"/>
      <c r="C81" s="382"/>
      <c r="D81" s="386"/>
      <c r="E81" s="520"/>
      <c r="G81" s="365">
        <v>46236</v>
      </c>
      <c r="H81" s="457" t="s">
        <v>448</v>
      </c>
      <c r="I81" s="382"/>
      <c r="J81" s="386">
        <v>120</v>
      </c>
      <c r="K81" s="345">
        <v>23.52</v>
      </c>
      <c r="M81" s="376"/>
      <c r="N81" s="858" t="s">
        <v>739</v>
      </c>
      <c r="O81" s="865"/>
      <c r="P81" s="386"/>
      <c r="Q81" s="769">
        <v>225.03</v>
      </c>
      <c r="Y81" s="376"/>
      <c r="Z81" s="458"/>
      <c r="AA81" s="382"/>
      <c r="AB81" s="386"/>
      <c r="AC81" s="769"/>
      <c r="AE81" s="376"/>
      <c r="AF81" s="458"/>
      <c r="AG81" s="382"/>
      <c r="AH81" s="837"/>
      <c r="AI81" s="342"/>
      <c r="AK81" s="352"/>
      <c r="AL81" s="632"/>
      <c r="AM81" s="892" t="s">
        <v>45</v>
      </c>
      <c r="AN81" s="892"/>
      <c r="AO81" s="592">
        <f>SUM(AO77:AO80)</f>
        <v>619.58000000000004</v>
      </c>
      <c r="AU81" s="593"/>
      <c r="AW81" s="338"/>
      <c r="AX81" s="463"/>
      <c r="AY81" s="420"/>
      <c r="AZ81" s="421"/>
      <c r="BA81" s="591"/>
      <c r="BI81" s="376"/>
      <c r="BJ81" s="457"/>
      <c r="BK81" s="382"/>
      <c r="BL81" s="386"/>
      <c r="BM81" s="708"/>
      <c r="BO81" s="376"/>
      <c r="BP81" s="457" t="s">
        <v>556</v>
      </c>
      <c r="BQ81" s="382"/>
      <c r="BR81" s="386" t="s">
        <v>556</v>
      </c>
      <c r="BS81" s="708"/>
      <c r="BU81" s="376"/>
      <c r="BV81" s="783"/>
      <c r="BW81" s="780"/>
      <c r="BX81" s="781"/>
      <c r="BY81" s="342"/>
      <c r="CA81" s="376"/>
      <c r="CB81" s="457"/>
      <c r="CC81" s="382"/>
      <c r="CD81" s="386"/>
      <c r="CE81" s="708"/>
    </row>
    <row r="82" spans="1:83" ht="15" thickBot="1" x14ac:dyDescent="0.35">
      <c r="A82" s="376"/>
      <c r="B82" s="458"/>
      <c r="C82" s="382"/>
      <c r="D82" s="386"/>
      <c r="E82" s="520"/>
      <c r="G82" s="365">
        <v>46236</v>
      </c>
      <c r="H82" s="422" t="s">
        <v>451</v>
      </c>
      <c r="I82" s="382"/>
      <c r="J82" s="386">
        <v>120</v>
      </c>
      <c r="K82" s="345">
        <v>23.52</v>
      </c>
      <c r="M82" s="338"/>
      <c r="N82" s="858" t="s">
        <v>740</v>
      </c>
      <c r="O82" s="865"/>
      <c r="P82" s="386"/>
      <c r="Q82" s="769">
        <v>115.23</v>
      </c>
      <c r="Y82" s="376"/>
      <c r="Z82" s="458"/>
      <c r="AA82" s="382"/>
      <c r="AB82" s="386"/>
      <c r="AC82" s="342"/>
      <c r="AE82" s="376"/>
      <c r="AF82" s="457"/>
      <c r="AG82" s="382"/>
      <c r="AH82" s="837"/>
      <c r="AI82" s="342"/>
      <c r="AU82" s="593"/>
      <c r="AW82" s="338"/>
      <c r="AX82" s="463"/>
      <c r="AY82" s="420"/>
      <c r="AZ82" s="421"/>
      <c r="BA82" s="591"/>
      <c r="BI82" s="705"/>
      <c r="BJ82" s="706"/>
      <c r="BK82" s="707"/>
      <c r="BL82" s="704"/>
      <c r="BM82" s="708"/>
      <c r="BO82" s="705"/>
      <c r="BP82" s="706"/>
      <c r="BQ82" s="707"/>
      <c r="BR82" s="704"/>
      <c r="BS82" s="708"/>
      <c r="BU82" s="705"/>
      <c r="BV82" s="706"/>
      <c r="BW82" s="707"/>
      <c r="BX82" s="704"/>
      <c r="BY82" s="708"/>
      <c r="CA82" s="705"/>
      <c r="CB82" s="706"/>
      <c r="CC82" s="707"/>
      <c r="CD82" s="704"/>
      <c r="CE82" s="708"/>
    </row>
    <row r="83" spans="1:83" ht="15" thickBot="1" x14ac:dyDescent="0.35">
      <c r="A83" s="376"/>
      <c r="B83" s="457"/>
      <c r="C83" s="382"/>
      <c r="D83" s="386"/>
      <c r="E83" s="520"/>
      <c r="G83" s="365">
        <v>46236</v>
      </c>
      <c r="H83" s="457" t="s">
        <v>448</v>
      </c>
      <c r="I83" s="382"/>
      <c r="J83" s="386">
        <v>120</v>
      </c>
      <c r="K83" s="345">
        <v>23.52</v>
      </c>
      <c r="M83" s="338"/>
      <c r="N83" s="838" t="s">
        <v>741</v>
      </c>
      <c r="O83" s="865"/>
      <c r="P83" s="386"/>
      <c r="Q83" s="769">
        <v>37.5</v>
      </c>
      <c r="Y83" s="376"/>
      <c r="Z83" s="458"/>
      <c r="AA83" s="382"/>
      <c r="AB83" s="386"/>
      <c r="AC83" s="342"/>
      <c r="AE83" s="376"/>
      <c r="AF83" s="458"/>
      <c r="AG83" s="382"/>
      <c r="AH83" s="837"/>
      <c r="AI83" s="342"/>
      <c r="AK83" s="890" t="s">
        <v>592</v>
      </c>
      <c r="AL83" s="891"/>
      <c r="AM83" s="322"/>
      <c r="AN83" s="383" t="s">
        <v>199</v>
      </c>
      <c r="AO83" s="587">
        <v>2023</v>
      </c>
      <c r="AU83" s="593"/>
      <c r="AW83" s="352"/>
      <c r="AX83" s="771"/>
      <c r="AY83" s="892" t="s">
        <v>45</v>
      </c>
      <c r="AZ83" s="892"/>
      <c r="BA83" s="592">
        <f>SUM(BA79:BA82)</f>
        <v>0</v>
      </c>
      <c r="BI83" s="711"/>
      <c r="BJ83" s="712"/>
      <c r="BK83" s="713"/>
      <c r="BL83" s="714"/>
      <c r="BM83" s="715"/>
      <c r="BO83" s="711"/>
      <c r="BP83" s="712"/>
      <c r="BQ83" s="713"/>
      <c r="BR83" s="714"/>
      <c r="BS83" s="715"/>
      <c r="BU83" s="711"/>
      <c r="BV83" s="712"/>
      <c r="BW83" s="713"/>
      <c r="BX83" s="714"/>
      <c r="BY83" s="715"/>
      <c r="CA83" s="711"/>
      <c r="CB83" s="712"/>
      <c r="CC83" s="713"/>
      <c r="CD83" s="714"/>
      <c r="CE83" s="715"/>
    </row>
    <row r="84" spans="1:83" ht="18.75" customHeight="1" thickBot="1" x14ac:dyDescent="0.35">
      <c r="A84" s="376"/>
      <c r="B84" s="422"/>
      <c r="C84" s="382"/>
      <c r="D84" s="386"/>
      <c r="E84" s="520"/>
      <c r="G84" s="365">
        <v>46236</v>
      </c>
      <c r="H84" s="422" t="s">
        <v>447</v>
      </c>
      <c r="I84" s="382"/>
      <c r="J84" s="386">
        <v>120</v>
      </c>
      <c r="K84" s="345">
        <v>23.52</v>
      </c>
      <c r="M84" s="338"/>
      <c r="N84" s="858"/>
      <c r="O84" s="865"/>
      <c r="P84" s="386"/>
      <c r="Q84" s="769"/>
      <c r="Y84" s="376"/>
      <c r="Z84" s="457"/>
      <c r="AA84" s="382"/>
      <c r="AB84" s="386"/>
      <c r="AC84" s="342"/>
      <c r="AE84" s="376"/>
      <c r="AF84" s="457"/>
      <c r="AG84" s="382"/>
      <c r="AH84" s="386"/>
      <c r="AI84" s="342"/>
      <c r="AK84" s="613"/>
      <c r="AL84" s="816"/>
      <c r="AM84" s="329"/>
      <c r="AN84" s="614"/>
      <c r="AO84" s="694"/>
      <c r="AU84" s="593"/>
      <c r="BI84" s="716"/>
      <c r="BJ84" s="717"/>
      <c r="BK84" s="718"/>
      <c r="BL84" s="720" t="s">
        <v>16</v>
      </c>
      <c r="BM84" s="719">
        <f>SUM(BM74:BM83)</f>
        <v>1393.41</v>
      </c>
      <c r="BO84" s="716"/>
      <c r="BP84" s="717"/>
      <c r="BQ84" s="718"/>
      <c r="BR84" s="720" t="s">
        <v>16</v>
      </c>
      <c r="BS84" s="719">
        <f>SUM(BS74:BS83)</f>
        <v>5087.7700000000004</v>
      </c>
      <c r="BU84" s="716"/>
      <c r="BV84" s="717"/>
      <c r="BW84" s="718"/>
      <c r="BX84" s="720" t="s">
        <v>16</v>
      </c>
      <c r="BY84" s="719">
        <f>SUM(BY74:BY83)</f>
        <v>0</v>
      </c>
      <c r="CA84" s="716"/>
      <c r="CB84" s="717"/>
      <c r="CC84" s="718"/>
      <c r="CD84" s="720" t="s">
        <v>16</v>
      </c>
      <c r="CE84" s="719">
        <f>SUM(CE74:CE83)</f>
        <v>0</v>
      </c>
    </row>
    <row r="85" spans="1:83" ht="15" thickBot="1" x14ac:dyDescent="0.35">
      <c r="A85" s="376"/>
      <c r="B85" s="457"/>
      <c r="C85" s="382"/>
      <c r="D85" s="386"/>
      <c r="E85" s="520"/>
      <c r="G85" s="365">
        <v>46236</v>
      </c>
      <c r="H85" s="457" t="s">
        <v>448</v>
      </c>
      <c r="I85" s="382"/>
      <c r="J85" s="386">
        <v>120</v>
      </c>
      <c r="K85" s="345">
        <v>22.85</v>
      </c>
      <c r="M85" s="352"/>
      <c r="N85" s="634"/>
      <c r="O85" s="634" t="s">
        <v>45</v>
      </c>
      <c r="P85" s="634"/>
      <c r="Q85" s="385">
        <f>SUM(Q80:Q84)</f>
        <v>458.19000000000005</v>
      </c>
      <c r="Y85" s="376"/>
      <c r="Z85" s="457"/>
      <c r="AA85" s="382"/>
      <c r="AB85" s="386"/>
      <c r="AC85" s="342"/>
      <c r="AE85" s="376"/>
      <c r="AF85" s="422"/>
      <c r="AG85" s="382"/>
      <c r="AH85" s="386"/>
      <c r="AI85" s="342"/>
      <c r="AK85" s="325" t="s">
        <v>159</v>
      </c>
      <c r="AL85" s="326"/>
      <c r="AM85" s="327"/>
      <c r="AN85" s="378" t="s">
        <v>12</v>
      </c>
      <c r="AO85" s="588">
        <v>8</v>
      </c>
      <c r="AU85" s="593"/>
      <c r="AW85" s="890" t="s">
        <v>126</v>
      </c>
      <c r="AX85" s="891"/>
      <c r="AY85" s="322"/>
      <c r="AZ85" s="383" t="s">
        <v>199</v>
      </c>
      <c r="BA85" s="587" t="s">
        <v>556</v>
      </c>
    </row>
    <row r="86" spans="1:83" ht="15" thickBot="1" x14ac:dyDescent="0.35">
      <c r="A86" s="352"/>
      <c r="B86" s="543"/>
      <c r="C86" s="892" t="s">
        <v>45</v>
      </c>
      <c r="D86" s="892"/>
      <c r="E86" s="385">
        <f>SUM(E72:E85)</f>
        <v>304.75</v>
      </c>
      <c r="G86" s="365"/>
      <c r="H86" s="346"/>
      <c r="I86" s="343"/>
      <c r="J86" s="344"/>
      <c r="K86" s="342"/>
      <c r="Y86" s="338"/>
      <c r="Z86" s="463"/>
      <c r="AA86" s="420"/>
      <c r="AB86" s="421"/>
      <c r="AC86" s="342"/>
      <c r="AE86" s="376"/>
      <c r="AF86" s="422"/>
      <c r="AG86" s="382"/>
      <c r="AH86" s="386"/>
      <c r="AI86" s="342"/>
      <c r="AK86" s="325"/>
      <c r="AL86" s="326"/>
      <c r="AM86" s="327"/>
      <c r="AN86" s="378"/>
      <c r="AO86" s="588"/>
      <c r="AU86" s="593"/>
      <c r="AW86" s="325" t="s">
        <v>155</v>
      </c>
      <c r="AX86" s="326"/>
      <c r="AY86" s="327"/>
      <c r="AZ86" s="378" t="s">
        <v>12</v>
      </c>
      <c r="BA86" s="588" t="s">
        <v>556</v>
      </c>
      <c r="BO86" s="890" t="s">
        <v>557</v>
      </c>
      <c r="BP86" s="891"/>
      <c r="BQ86" s="322"/>
      <c r="BR86" s="383" t="s">
        <v>199</v>
      </c>
      <c r="BS86" s="384"/>
      <c r="CA86" s="890" t="s">
        <v>599</v>
      </c>
      <c r="CB86" s="891"/>
      <c r="CC86" s="322"/>
      <c r="CD86" s="383" t="s">
        <v>199</v>
      </c>
      <c r="CE86" s="384"/>
    </row>
    <row r="87" spans="1:83" ht="15" thickBot="1" x14ac:dyDescent="0.35">
      <c r="A87" s="894"/>
      <c r="B87" s="895"/>
      <c r="C87" s="329"/>
      <c r="D87" s="522"/>
      <c r="E87" s="523"/>
      <c r="G87" s="366"/>
      <c r="H87" s="422" t="s">
        <v>556</v>
      </c>
      <c r="I87" s="382"/>
      <c r="J87" s="386"/>
      <c r="K87" s="345" t="s">
        <v>556</v>
      </c>
      <c r="M87" s="890" t="s">
        <v>452</v>
      </c>
      <c r="N87" s="891"/>
      <c r="O87" s="322"/>
      <c r="P87" s="383" t="s">
        <v>199</v>
      </c>
      <c r="Q87" s="384">
        <v>2023</v>
      </c>
      <c r="Y87" s="338"/>
      <c r="Z87" s="463"/>
      <c r="AA87" s="420"/>
      <c r="AB87" s="421"/>
      <c r="AC87" s="342"/>
      <c r="AE87" s="376"/>
      <c r="AF87" s="422"/>
      <c r="AG87" s="382"/>
      <c r="AH87" s="386"/>
      <c r="AI87" s="342"/>
      <c r="AK87" s="328"/>
      <c r="AL87" s="329"/>
      <c r="AM87" s="381"/>
      <c r="AN87" s="378" t="s">
        <v>200</v>
      </c>
      <c r="AO87" s="588">
        <v>5</v>
      </c>
      <c r="AU87" s="593"/>
      <c r="AW87" s="328"/>
      <c r="AX87" s="329"/>
      <c r="AY87" s="381"/>
      <c r="AZ87" s="378" t="s">
        <v>200</v>
      </c>
      <c r="BA87" s="588" t="s">
        <v>556</v>
      </c>
      <c r="BO87" s="325" t="s">
        <v>150</v>
      </c>
      <c r="BP87" s="326"/>
      <c r="BQ87" s="327"/>
      <c r="BR87" s="378" t="s">
        <v>12</v>
      </c>
      <c r="BS87" s="379"/>
      <c r="CA87" s="325" t="s">
        <v>601</v>
      </c>
      <c r="CB87" s="326"/>
      <c r="CC87" s="327"/>
      <c r="CD87" s="378" t="s">
        <v>12</v>
      </c>
      <c r="CE87" s="379"/>
    </row>
    <row r="88" spans="1:83" ht="18" thickBot="1" x14ac:dyDescent="0.35">
      <c r="A88" s="524"/>
      <c r="B88" s="326"/>
      <c r="C88" s="327"/>
      <c r="D88" s="522"/>
      <c r="E88" s="523"/>
      <c r="G88" s="352"/>
      <c r="H88" s="505"/>
      <c r="I88" s="505" t="s">
        <v>45</v>
      </c>
      <c r="J88" s="505"/>
      <c r="K88" s="385">
        <f>SUM(K72:K87)</f>
        <v>328.61</v>
      </c>
      <c r="M88" s="613"/>
      <c r="N88" s="698"/>
      <c r="O88" s="329"/>
      <c r="P88" s="614"/>
      <c r="Q88" s="615"/>
      <c r="Y88" s="338"/>
      <c r="Z88" s="637"/>
      <c r="AA88" s="420"/>
      <c r="AB88" s="421"/>
      <c r="AC88" s="342"/>
      <c r="AE88" s="376"/>
      <c r="AF88" s="422"/>
      <c r="AG88" s="382"/>
      <c r="AH88" s="386"/>
      <c r="AI88" s="342"/>
      <c r="AK88" s="331" t="s">
        <v>239</v>
      </c>
      <c r="AL88" s="802" t="s">
        <v>667</v>
      </c>
      <c r="AM88" s="332"/>
      <c r="AN88" s="378" t="s">
        <v>201</v>
      </c>
      <c r="AO88" s="589">
        <v>45077</v>
      </c>
      <c r="AU88" s="593"/>
      <c r="AW88" s="331" t="s">
        <v>239</v>
      </c>
      <c r="AX88" s="508" t="s">
        <v>573</v>
      </c>
      <c r="AY88" s="332"/>
      <c r="AZ88" s="378" t="s">
        <v>201</v>
      </c>
      <c r="BA88" s="589" t="s">
        <v>556</v>
      </c>
      <c r="BO88" s="328"/>
      <c r="BP88" s="329"/>
      <c r="BQ88" s="381"/>
      <c r="BR88" s="378" t="s">
        <v>200</v>
      </c>
      <c r="BS88" s="379"/>
      <c r="CA88" s="328"/>
      <c r="CB88" s="329"/>
      <c r="CC88" s="381"/>
      <c r="CD88" s="378" t="s">
        <v>200</v>
      </c>
      <c r="CE88" s="379"/>
    </row>
    <row r="89" spans="1:83" ht="28.2" thickBot="1" x14ac:dyDescent="0.35">
      <c r="A89" s="890" t="s">
        <v>145</v>
      </c>
      <c r="B89" s="891"/>
      <c r="C89" s="322"/>
      <c r="D89" s="383" t="s">
        <v>199</v>
      </c>
      <c r="E89" s="384">
        <v>2023</v>
      </c>
      <c r="M89" s="325" t="s">
        <v>161</v>
      </c>
      <c r="N89" s="326"/>
      <c r="O89" s="327"/>
      <c r="P89" s="378" t="s">
        <v>12</v>
      </c>
      <c r="Q89" s="379">
        <v>3</v>
      </c>
      <c r="Y89" s="338"/>
      <c r="Z89" s="339"/>
      <c r="AA89" s="340"/>
      <c r="AB89" s="341"/>
      <c r="AC89" s="342"/>
      <c r="AE89" s="376"/>
      <c r="AF89" s="422"/>
      <c r="AG89" s="382"/>
      <c r="AH89" s="386"/>
      <c r="AI89" s="342"/>
      <c r="AK89" s="333" t="s">
        <v>445</v>
      </c>
      <c r="AL89" s="334" t="s">
        <v>202</v>
      </c>
      <c r="AM89" s="335" t="s">
        <v>203</v>
      </c>
      <c r="AN89" s="336" t="s">
        <v>204</v>
      </c>
      <c r="AO89" s="590" t="s">
        <v>205</v>
      </c>
      <c r="AU89" s="593"/>
      <c r="AW89" s="333" t="s">
        <v>445</v>
      </c>
      <c r="AX89" s="334" t="s">
        <v>202</v>
      </c>
      <c r="AY89" s="335" t="s">
        <v>203</v>
      </c>
      <c r="AZ89" s="336" t="s">
        <v>204</v>
      </c>
      <c r="BA89" s="590" t="s">
        <v>205</v>
      </c>
      <c r="BO89" s="331" t="s">
        <v>239</v>
      </c>
      <c r="BP89" s="508" t="s">
        <v>556</v>
      </c>
      <c r="BQ89" s="332"/>
      <c r="BR89" s="378" t="s">
        <v>201</v>
      </c>
      <c r="BS89" s="380"/>
      <c r="CA89" s="331" t="s">
        <v>239</v>
      </c>
      <c r="CB89" s="508" t="s">
        <v>602</v>
      </c>
      <c r="CC89" s="332"/>
      <c r="CD89" s="378" t="s">
        <v>201</v>
      </c>
      <c r="CE89" s="380"/>
    </row>
    <row r="90" spans="1:83" ht="42" thickBot="1" x14ac:dyDescent="0.35">
      <c r="A90" s="325" t="s">
        <v>146</v>
      </c>
      <c r="B90" s="326"/>
      <c r="C90" s="327"/>
      <c r="D90" s="378" t="s">
        <v>12</v>
      </c>
      <c r="E90" s="379">
        <v>8</v>
      </c>
      <c r="G90" s="423"/>
      <c r="H90" s="424"/>
      <c r="I90" s="424"/>
      <c r="J90" s="424"/>
      <c r="K90" s="425"/>
      <c r="M90" s="328"/>
      <c r="N90" s="329"/>
      <c r="O90" s="381"/>
      <c r="P90" s="378" t="s">
        <v>200</v>
      </c>
      <c r="Q90" s="379">
        <v>1</v>
      </c>
      <c r="Y90" s="338"/>
      <c r="Z90" s="339"/>
      <c r="AA90" s="340"/>
      <c r="AB90" s="341"/>
      <c r="AC90" s="342"/>
      <c r="AE90" s="338"/>
      <c r="AF90" s="610"/>
      <c r="AG90" s="612"/>
      <c r="AH90" s="421"/>
      <c r="AI90" s="342"/>
      <c r="AK90" s="376"/>
      <c r="AL90" s="835" t="s">
        <v>708</v>
      </c>
      <c r="AM90" s="836">
        <v>14</v>
      </c>
      <c r="AN90" s="837"/>
      <c r="AO90" s="342">
        <v>436.63</v>
      </c>
      <c r="AU90" s="593"/>
      <c r="AW90" s="376" t="s">
        <v>556</v>
      </c>
      <c r="AX90" s="422" t="s">
        <v>556</v>
      </c>
      <c r="AY90" s="382" t="s">
        <v>556</v>
      </c>
      <c r="AZ90" s="386" t="s">
        <v>556</v>
      </c>
      <c r="BA90" s="725" t="s">
        <v>556</v>
      </c>
      <c r="BO90" s="333" t="s">
        <v>445</v>
      </c>
      <c r="BP90" s="334" t="s">
        <v>202</v>
      </c>
      <c r="BQ90" s="335" t="s">
        <v>203</v>
      </c>
      <c r="BR90" s="336" t="s">
        <v>204</v>
      </c>
      <c r="BS90" s="337" t="s">
        <v>205</v>
      </c>
      <c r="CA90" s="333" t="s">
        <v>445</v>
      </c>
      <c r="CB90" s="334" t="s">
        <v>202</v>
      </c>
      <c r="CC90" s="335" t="s">
        <v>203</v>
      </c>
      <c r="CD90" s="336" t="s">
        <v>204</v>
      </c>
      <c r="CE90" s="337" t="s">
        <v>205</v>
      </c>
    </row>
    <row r="91" spans="1:83" ht="18" thickBot="1" x14ac:dyDescent="0.35">
      <c r="A91" s="328"/>
      <c r="B91" s="329"/>
      <c r="C91" s="381"/>
      <c r="D91" s="378" t="s">
        <v>200</v>
      </c>
      <c r="E91" s="379">
        <v>5</v>
      </c>
      <c r="G91" s="503" t="s">
        <v>171</v>
      </c>
      <c r="H91" s="504"/>
      <c r="I91" s="322"/>
      <c r="J91" s="383" t="s">
        <v>199</v>
      </c>
      <c r="K91" s="384">
        <v>2023</v>
      </c>
      <c r="M91" s="507" t="s">
        <v>239</v>
      </c>
      <c r="N91" s="508" t="s">
        <v>628</v>
      </c>
      <c r="O91" s="509"/>
      <c r="P91" s="378" t="s">
        <v>201</v>
      </c>
      <c r="Q91" s="380">
        <v>44895</v>
      </c>
      <c r="Y91" s="352"/>
      <c r="Z91" s="632"/>
      <c r="AA91" s="892" t="s">
        <v>45</v>
      </c>
      <c r="AB91" s="892"/>
      <c r="AC91" s="385">
        <f>SUM(AC79:AC90)</f>
        <v>289.14</v>
      </c>
      <c r="AE91" s="352"/>
      <c r="AF91" s="741"/>
      <c r="AG91" s="892" t="s">
        <v>45</v>
      </c>
      <c r="AH91" s="892"/>
      <c r="AI91" s="385">
        <f>SUM(AI75:AI90)</f>
        <v>159.16999999999999</v>
      </c>
      <c r="AK91" s="819"/>
      <c r="AL91" s="838" t="s">
        <v>709</v>
      </c>
      <c r="AM91" s="836">
        <v>2</v>
      </c>
      <c r="AN91" s="837"/>
      <c r="AO91" s="342">
        <v>86.53</v>
      </c>
      <c r="AU91" s="593"/>
      <c r="AW91" s="376"/>
      <c r="AX91" s="457"/>
      <c r="AY91" s="382"/>
      <c r="AZ91" s="386"/>
      <c r="BA91" s="591"/>
      <c r="BO91" s="376"/>
      <c r="BP91" s="458" t="s">
        <v>556</v>
      </c>
      <c r="BQ91" s="382"/>
      <c r="BR91" s="386"/>
      <c r="BS91" s="342" t="s">
        <v>556</v>
      </c>
      <c r="CA91" s="376"/>
      <c r="CB91" s="458"/>
      <c r="CC91" s="382"/>
      <c r="CD91" s="386"/>
      <c r="CE91" s="342"/>
    </row>
    <row r="92" spans="1:83" ht="15" thickBot="1" x14ac:dyDescent="0.35">
      <c r="A92" s="331" t="s">
        <v>239</v>
      </c>
      <c r="B92" s="514" t="s">
        <v>631</v>
      </c>
      <c r="C92" s="332"/>
      <c r="D92" s="378" t="s">
        <v>201</v>
      </c>
      <c r="E92" s="380">
        <v>45077</v>
      </c>
      <c r="G92" s="325" t="s">
        <v>152</v>
      </c>
      <c r="H92" s="326"/>
      <c r="I92" s="327"/>
      <c r="J92" s="378" t="s">
        <v>12</v>
      </c>
      <c r="K92" s="379">
        <v>11</v>
      </c>
      <c r="M92" s="510" t="s">
        <v>479</v>
      </c>
      <c r="N92" s="511" t="s">
        <v>556</v>
      </c>
      <c r="O92" s="509"/>
      <c r="P92" s="509"/>
      <c r="Q92" s="512"/>
      <c r="AK92" s="338"/>
      <c r="AL92" s="838" t="s">
        <v>657</v>
      </c>
      <c r="AM92" s="836">
        <v>2</v>
      </c>
      <c r="AN92" s="837"/>
      <c r="AO92" s="342">
        <v>70.959999999999994</v>
      </c>
      <c r="AU92" s="593"/>
      <c r="AW92" s="338"/>
      <c r="AX92" s="463"/>
      <c r="AY92" s="420"/>
      <c r="AZ92" s="421"/>
      <c r="BA92" s="591"/>
      <c r="BO92" s="376"/>
      <c r="BP92" s="458"/>
      <c r="BQ92" s="382"/>
      <c r="BR92" s="386"/>
      <c r="BS92" s="342"/>
      <c r="CA92" s="376"/>
      <c r="CB92" s="458"/>
      <c r="CC92" s="382"/>
      <c r="CD92" s="386"/>
      <c r="CE92" s="342"/>
    </row>
    <row r="93" spans="1:83" ht="28.2" thickBot="1" x14ac:dyDescent="0.35">
      <c r="A93" s="333" t="s">
        <v>445</v>
      </c>
      <c r="B93" s="334" t="s">
        <v>202</v>
      </c>
      <c r="C93" s="335" t="s">
        <v>203</v>
      </c>
      <c r="D93" s="336" t="s">
        <v>204</v>
      </c>
      <c r="E93" s="337" t="s">
        <v>205</v>
      </c>
      <c r="G93" s="328"/>
      <c r="H93" s="329"/>
      <c r="I93" s="381"/>
      <c r="J93" s="378" t="s">
        <v>200</v>
      </c>
      <c r="K93" s="379">
        <v>4</v>
      </c>
      <c r="M93" s="513"/>
      <c r="N93" s="514"/>
      <c r="O93" s="509"/>
      <c r="P93" s="509"/>
      <c r="Q93" s="512"/>
      <c r="AE93" s="890" t="s">
        <v>138</v>
      </c>
      <c r="AF93" s="896"/>
      <c r="AG93" s="322"/>
      <c r="AH93" s="383" t="s">
        <v>199</v>
      </c>
      <c r="AI93" s="384">
        <v>2023</v>
      </c>
      <c r="AK93" s="338"/>
      <c r="AL93" s="745" t="s">
        <v>652</v>
      </c>
      <c r="AM93" s="811">
        <v>1</v>
      </c>
      <c r="AN93" s="840"/>
      <c r="AO93" s="591">
        <v>25.46</v>
      </c>
      <c r="AU93" s="593"/>
      <c r="AW93" s="338"/>
      <c r="AX93" s="463"/>
      <c r="AY93" s="420"/>
      <c r="AZ93" s="421"/>
      <c r="BA93" s="591"/>
      <c r="BO93" s="376"/>
      <c r="BP93" s="458"/>
      <c r="BQ93" s="382"/>
      <c r="BR93" s="386"/>
      <c r="BS93" s="342"/>
      <c r="CA93" s="376"/>
      <c r="CB93" s="458"/>
      <c r="CC93" s="382"/>
      <c r="CD93" s="386"/>
      <c r="CE93" s="342"/>
    </row>
    <row r="94" spans="1:83" ht="40.200000000000003" thickBot="1" x14ac:dyDescent="0.35">
      <c r="A94" s="363"/>
      <c r="B94" s="422"/>
      <c r="C94" s="382"/>
      <c r="D94" s="386"/>
      <c r="E94" s="342"/>
      <c r="G94" s="358" t="s">
        <v>239</v>
      </c>
      <c r="H94" s="508" t="s">
        <v>525</v>
      </c>
      <c r="I94" s="332"/>
      <c r="J94" s="378" t="s">
        <v>201</v>
      </c>
      <c r="K94" s="380">
        <v>45161</v>
      </c>
      <c r="M94" s="515" t="s">
        <v>480</v>
      </c>
      <c r="N94" s="516" t="s">
        <v>202</v>
      </c>
      <c r="O94" s="517" t="s">
        <v>203</v>
      </c>
      <c r="P94" s="518" t="s">
        <v>204</v>
      </c>
      <c r="Q94" s="519" t="s">
        <v>205</v>
      </c>
      <c r="Y94" s="890" t="s">
        <v>478</v>
      </c>
      <c r="Z94" s="891"/>
      <c r="AA94" s="322"/>
      <c r="AB94" s="383" t="s">
        <v>199</v>
      </c>
      <c r="AC94" s="384">
        <v>2023</v>
      </c>
      <c r="AE94" s="325" t="s">
        <v>137</v>
      </c>
      <c r="AF94" s="326"/>
      <c r="AG94" s="327"/>
      <c r="AH94" s="378" t="s">
        <v>12</v>
      </c>
      <c r="AI94" s="379">
        <v>11</v>
      </c>
      <c r="AK94" s="352"/>
      <c r="AL94" s="815"/>
      <c r="AM94" s="892" t="s">
        <v>45</v>
      </c>
      <c r="AN94" s="892"/>
      <c r="AO94" s="592">
        <f>SUM(AO90:AO93)</f>
        <v>619.58000000000004</v>
      </c>
      <c r="AU94" s="593"/>
      <c r="AW94" s="352"/>
      <c r="AX94" s="771"/>
      <c r="AY94" s="892" t="s">
        <v>45</v>
      </c>
      <c r="AZ94" s="892"/>
      <c r="BA94" s="592">
        <f>SUM(BA90:BA93)</f>
        <v>0</v>
      </c>
      <c r="BO94" s="376"/>
      <c r="BP94" s="458"/>
      <c r="BQ94" s="382"/>
      <c r="BR94" s="386"/>
      <c r="BS94" s="342"/>
      <c r="CA94" s="376"/>
      <c r="CB94" s="458"/>
      <c r="CC94" s="382"/>
      <c r="CD94" s="386"/>
      <c r="CE94" s="342"/>
    </row>
    <row r="95" spans="1:83" ht="42" thickBot="1" x14ac:dyDescent="0.35">
      <c r="A95" s="363"/>
      <c r="B95" s="458"/>
      <c r="C95" s="382"/>
      <c r="D95" s="386"/>
      <c r="E95" s="342"/>
      <c r="G95" s="333" t="s">
        <v>445</v>
      </c>
      <c r="H95" s="334" t="s">
        <v>202</v>
      </c>
      <c r="I95" s="335" t="s">
        <v>203</v>
      </c>
      <c r="J95" s="336" t="s">
        <v>204</v>
      </c>
      <c r="K95" s="337" t="s">
        <v>205</v>
      </c>
      <c r="M95" s="742"/>
      <c r="N95" s="835" t="s">
        <v>659</v>
      </c>
      <c r="O95" s="382"/>
      <c r="P95" s="386"/>
      <c r="Q95" s="769"/>
      <c r="Y95" s="325" t="s">
        <v>140</v>
      </c>
      <c r="Z95" s="326"/>
      <c r="AA95" s="327"/>
      <c r="AB95" s="378" t="s">
        <v>12</v>
      </c>
      <c r="AC95" s="379">
        <v>11</v>
      </c>
      <c r="AE95" s="328"/>
      <c r="AF95" s="329"/>
      <c r="AG95" s="381"/>
      <c r="AH95" s="378" t="s">
        <v>200</v>
      </c>
      <c r="AI95" s="379">
        <v>5</v>
      </c>
      <c r="AU95" s="593"/>
      <c r="BO95" s="376"/>
      <c r="BP95" s="458"/>
      <c r="BQ95" s="382"/>
      <c r="BR95" s="386"/>
      <c r="BS95" s="703"/>
      <c r="CA95" s="376"/>
      <c r="CB95" s="458"/>
      <c r="CC95" s="382"/>
      <c r="CD95" s="386"/>
      <c r="CE95" s="703"/>
    </row>
    <row r="96" spans="1:83" ht="18" thickBot="1" x14ac:dyDescent="0.35">
      <c r="A96" s="363"/>
      <c r="B96" s="457"/>
      <c r="C96" s="382"/>
      <c r="D96" s="386"/>
      <c r="E96" s="351"/>
      <c r="G96" s="365">
        <v>46236</v>
      </c>
      <c r="H96" s="422" t="s">
        <v>447</v>
      </c>
      <c r="I96" s="382"/>
      <c r="J96" s="386">
        <v>120</v>
      </c>
      <c r="K96" s="345">
        <v>23.52</v>
      </c>
      <c r="M96" s="742"/>
      <c r="N96" s="858" t="s">
        <v>660</v>
      </c>
      <c r="O96" s="382"/>
      <c r="P96" s="386"/>
      <c r="Q96" s="769"/>
      <c r="Y96" s="328"/>
      <c r="Z96" s="329"/>
      <c r="AA96" s="381"/>
      <c r="AB96" s="378" t="s">
        <v>200</v>
      </c>
      <c r="AC96" s="379">
        <v>5</v>
      </c>
      <c r="AE96" s="331" t="s">
        <v>239</v>
      </c>
      <c r="AF96" s="508" t="s">
        <v>619</v>
      </c>
      <c r="AG96" s="332"/>
      <c r="AH96" s="378" t="s">
        <v>201</v>
      </c>
      <c r="AI96" s="380">
        <v>45168</v>
      </c>
      <c r="AU96" s="593"/>
      <c r="BO96" s="376"/>
      <c r="BP96" s="458"/>
      <c r="BQ96" s="382"/>
      <c r="BR96" s="386"/>
      <c r="BS96" s="709"/>
      <c r="CA96" s="376"/>
      <c r="CB96" s="458"/>
      <c r="CC96" s="382"/>
      <c r="CD96" s="386"/>
      <c r="CE96" s="709"/>
    </row>
    <row r="97" spans="1:83" ht="28.2" thickBot="1" x14ac:dyDescent="0.35">
      <c r="A97" s="363"/>
      <c r="B97" s="457"/>
      <c r="C97" s="382"/>
      <c r="D97" s="386"/>
      <c r="E97" s="342"/>
      <c r="G97" s="365">
        <v>46236</v>
      </c>
      <c r="H97" s="457" t="s">
        <v>448</v>
      </c>
      <c r="I97" s="382"/>
      <c r="J97" s="386">
        <v>120</v>
      </c>
      <c r="K97" s="345">
        <v>23.52</v>
      </c>
      <c r="M97" s="742"/>
      <c r="N97" s="858" t="s">
        <v>661</v>
      </c>
      <c r="O97" s="382"/>
      <c r="P97" s="386"/>
      <c r="Q97" s="769"/>
      <c r="Y97" s="331" t="s">
        <v>239</v>
      </c>
      <c r="Z97" s="775" t="s">
        <v>666</v>
      </c>
      <c r="AA97" s="332"/>
      <c r="AB97" s="378" t="s">
        <v>201</v>
      </c>
      <c r="AC97" s="380">
        <v>45168</v>
      </c>
      <c r="AE97" s="333" t="s">
        <v>445</v>
      </c>
      <c r="AF97" s="334" t="s">
        <v>202</v>
      </c>
      <c r="AG97" s="335" t="s">
        <v>203</v>
      </c>
      <c r="AH97" s="336" t="s">
        <v>204</v>
      </c>
      <c r="AI97" s="337" t="s">
        <v>205</v>
      </c>
      <c r="AU97" s="593"/>
      <c r="BO97" s="376"/>
      <c r="BP97" s="457"/>
      <c r="BQ97" s="382"/>
      <c r="BR97" s="386"/>
      <c r="BS97" s="710"/>
      <c r="CA97" s="376"/>
      <c r="CB97" s="457"/>
      <c r="CC97" s="382"/>
      <c r="CD97" s="386"/>
      <c r="CE97" s="710"/>
    </row>
    <row r="98" spans="1:83" ht="28.2" thickBot="1" x14ac:dyDescent="0.35">
      <c r="A98" s="363"/>
      <c r="B98" s="387"/>
      <c r="C98" s="382"/>
      <c r="D98" s="386"/>
      <c r="E98" s="342"/>
      <c r="G98" s="365">
        <v>46236</v>
      </c>
      <c r="H98" s="422" t="s">
        <v>447</v>
      </c>
      <c r="I98" s="382"/>
      <c r="J98" s="386">
        <v>120</v>
      </c>
      <c r="K98" s="345">
        <v>23.52</v>
      </c>
      <c r="M98" s="742"/>
      <c r="N98" s="838" t="s">
        <v>662</v>
      </c>
      <c r="O98" s="382"/>
      <c r="P98" s="386"/>
      <c r="Q98" s="769"/>
      <c r="Y98" s="333" t="s">
        <v>445</v>
      </c>
      <c r="Z98" s="334" t="s">
        <v>202</v>
      </c>
      <c r="AA98" s="335" t="s">
        <v>203</v>
      </c>
      <c r="AB98" s="336" t="s">
        <v>204</v>
      </c>
      <c r="AC98" s="337" t="s">
        <v>205</v>
      </c>
      <c r="AE98" s="376" t="s">
        <v>556</v>
      </c>
      <c r="AF98" s="838" t="s">
        <v>687</v>
      </c>
      <c r="AG98" s="836" t="s">
        <v>688</v>
      </c>
      <c r="AH98" s="837">
        <v>2</v>
      </c>
      <c r="AI98" s="342">
        <v>49.08</v>
      </c>
      <c r="AU98" s="593"/>
      <c r="BO98" s="376"/>
      <c r="BP98" s="457"/>
      <c r="BQ98" s="382"/>
      <c r="BR98" s="386"/>
      <c r="BS98" s="708"/>
      <c r="CA98" s="376"/>
      <c r="CB98" s="457"/>
      <c r="CC98" s="382"/>
      <c r="CD98" s="386"/>
      <c r="CE98" s="708"/>
    </row>
    <row r="99" spans="1:83" ht="27" thickBot="1" x14ac:dyDescent="0.35">
      <c r="A99" s="352"/>
      <c r="B99" s="595"/>
      <c r="C99" s="892" t="s">
        <v>45</v>
      </c>
      <c r="D99" s="892"/>
      <c r="E99" s="385">
        <f>SUM(E94:E98)</f>
        <v>0</v>
      </c>
      <c r="G99" s="365">
        <v>46236</v>
      </c>
      <c r="H99" s="457" t="s">
        <v>449</v>
      </c>
      <c r="I99" s="382"/>
      <c r="J99" s="386">
        <v>120</v>
      </c>
      <c r="K99" s="345">
        <v>23.52</v>
      </c>
      <c r="M99" s="742"/>
      <c r="N99" s="858" t="s">
        <v>663</v>
      </c>
      <c r="O99" s="382"/>
      <c r="P99" s="386"/>
      <c r="Q99" s="769"/>
      <c r="Y99" s="376"/>
      <c r="Z99" s="422" t="s">
        <v>719</v>
      </c>
      <c r="AA99" s="382"/>
      <c r="AB99" s="386"/>
      <c r="AC99" s="342">
        <v>772.44</v>
      </c>
      <c r="AE99" s="376"/>
      <c r="AF99" s="838" t="s">
        <v>689</v>
      </c>
      <c r="AG99" s="836" t="s">
        <v>688</v>
      </c>
      <c r="AH99" s="837">
        <v>2</v>
      </c>
      <c r="AI99" s="342">
        <v>37.96</v>
      </c>
      <c r="AU99" s="593"/>
      <c r="BO99" s="705"/>
      <c r="BP99" s="706"/>
      <c r="BQ99" s="707"/>
      <c r="BR99" s="704"/>
      <c r="BS99" s="708"/>
      <c r="CA99" s="705"/>
      <c r="CB99" s="706"/>
      <c r="CC99" s="707"/>
      <c r="CD99" s="704"/>
      <c r="CE99" s="708"/>
    </row>
    <row r="100" spans="1:83" ht="27" thickBot="1" x14ac:dyDescent="0.35">
      <c r="A100" s="525"/>
      <c r="B100" s="533"/>
      <c r="C100" s="530"/>
      <c r="D100" s="531"/>
      <c r="E100" s="532"/>
      <c r="G100" s="365">
        <v>46236</v>
      </c>
      <c r="H100" s="422" t="s">
        <v>447</v>
      </c>
      <c r="I100" s="382"/>
      <c r="J100" s="386">
        <v>120</v>
      </c>
      <c r="K100" s="345">
        <v>23.52</v>
      </c>
      <c r="M100" s="742"/>
      <c r="N100" s="457"/>
      <c r="O100" s="382"/>
      <c r="P100" s="386"/>
      <c r="Q100" s="769"/>
      <c r="Y100" s="376"/>
      <c r="Z100" s="458" t="s">
        <v>556</v>
      </c>
      <c r="AA100" s="382"/>
      <c r="AB100" s="386"/>
      <c r="AC100" s="342" t="s">
        <v>556</v>
      </c>
      <c r="AE100" s="376"/>
      <c r="AF100" s="838" t="s">
        <v>690</v>
      </c>
      <c r="AG100" s="836" t="s">
        <v>688</v>
      </c>
      <c r="AH100" s="837">
        <v>1</v>
      </c>
      <c r="AI100" s="342">
        <v>22.9</v>
      </c>
      <c r="AU100" s="593"/>
      <c r="BO100" s="711"/>
      <c r="BP100" s="712"/>
      <c r="BQ100" s="713"/>
      <c r="BR100" s="714"/>
      <c r="BS100" s="715"/>
      <c r="CA100" s="711"/>
      <c r="CB100" s="712"/>
      <c r="CC100" s="713"/>
      <c r="CD100" s="714"/>
      <c r="CE100" s="715"/>
    </row>
    <row r="101" spans="1:83" ht="27" thickBot="1" x14ac:dyDescent="0.35">
      <c r="A101" s="525"/>
      <c r="B101" s="533"/>
      <c r="C101" s="530"/>
      <c r="D101" s="531"/>
      <c r="E101" s="532"/>
      <c r="G101" s="365">
        <v>46236</v>
      </c>
      <c r="H101" s="457" t="s">
        <v>448</v>
      </c>
      <c r="I101" s="382"/>
      <c r="J101" s="386">
        <v>120</v>
      </c>
      <c r="K101" s="345">
        <v>23.52</v>
      </c>
      <c r="M101" s="742"/>
      <c r="N101" s="457"/>
      <c r="O101" s="382"/>
      <c r="P101" s="386"/>
      <c r="Q101" s="769"/>
      <c r="Y101" s="376"/>
      <c r="Z101" s="422"/>
      <c r="AA101" s="382"/>
      <c r="AB101" s="386"/>
      <c r="AC101" s="342"/>
      <c r="AE101" s="376"/>
      <c r="AF101" s="838" t="s">
        <v>692</v>
      </c>
      <c r="AG101" s="836" t="s">
        <v>688</v>
      </c>
      <c r="AH101" s="837">
        <v>1</v>
      </c>
      <c r="AI101" s="342">
        <v>12.91</v>
      </c>
      <c r="AU101" s="593"/>
      <c r="BO101" s="716"/>
      <c r="BP101" s="717"/>
      <c r="BQ101" s="718"/>
      <c r="BR101" s="720" t="s">
        <v>16</v>
      </c>
      <c r="BS101" s="719">
        <f>SUM(BS91:BS100)</f>
        <v>0</v>
      </c>
      <c r="CA101" s="716"/>
      <c r="CB101" s="717"/>
      <c r="CC101" s="718"/>
      <c r="CD101" s="720" t="s">
        <v>16</v>
      </c>
      <c r="CE101" s="719">
        <f>SUM(CE91:CE100)</f>
        <v>0</v>
      </c>
    </row>
    <row r="102" spans="1:83" x14ac:dyDescent="0.3">
      <c r="A102" s="890" t="s">
        <v>145</v>
      </c>
      <c r="B102" s="891"/>
      <c r="C102" s="322"/>
      <c r="D102" s="383" t="s">
        <v>199</v>
      </c>
      <c r="E102" s="384"/>
      <c r="G102" s="365">
        <v>46236</v>
      </c>
      <c r="H102" s="422" t="s">
        <v>447</v>
      </c>
      <c r="I102" s="382"/>
      <c r="J102" s="386">
        <v>120</v>
      </c>
      <c r="K102" s="345">
        <v>23.52</v>
      </c>
      <c r="M102" s="742"/>
      <c r="N102" s="458"/>
      <c r="O102" s="382"/>
      <c r="P102" s="386"/>
      <c r="Q102" s="769"/>
      <c r="Y102" s="376"/>
      <c r="Z102" s="458"/>
      <c r="AA102" s="382"/>
      <c r="AB102" s="386"/>
      <c r="AC102" s="342"/>
      <c r="AE102" s="376"/>
      <c r="AF102" s="458"/>
      <c r="AG102" s="382"/>
      <c r="AH102" s="837"/>
      <c r="AI102" s="342"/>
      <c r="AU102" s="593"/>
    </row>
    <row r="103" spans="1:83" x14ac:dyDescent="0.3">
      <c r="A103" s="325" t="s">
        <v>146</v>
      </c>
      <c r="B103" s="326"/>
      <c r="C103" s="327"/>
      <c r="D103" s="378" t="s">
        <v>12</v>
      </c>
      <c r="E103" s="379"/>
      <c r="G103" s="365">
        <v>46236</v>
      </c>
      <c r="H103" s="457" t="s">
        <v>450</v>
      </c>
      <c r="I103" s="382"/>
      <c r="J103" s="386">
        <v>120</v>
      </c>
      <c r="K103" s="345">
        <v>23.52</v>
      </c>
      <c r="M103" s="742"/>
      <c r="N103" s="422"/>
      <c r="O103" s="382"/>
      <c r="P103" s="386"/>
      <c r="Q103" s="642"/>
      <c r="Y103" s="376"/>
      <c r="Z103" s="458"/>
      <c r="AA103" s="382"/>
      <c r="AB103" s="386"/>
      <c r="AC103" s="342"/>
      <c r="AE103" s="376"/>
      <c r="AF103" s="458"/>
      <c r="AG103" s="382"/>
      <c r="AH103" s="837"/>
      <c r="AI103" s="342"/>
      <c r="AU103" s="593"/>
    </row>
    <row r="104" spans="1:83" ht="15" thickBot="1" x14ac:dyDescent="0.35">
      <c r="A104" s="328"/>
      <c r="B104" s="329"/>
      <c r="C104" s="381"/>
      <c r="D104" s="378" t="s">
        <v>200</v>
      </c>
      <c r="E104" s="379"/>
      <c r="G104" s="365">
        <v>46236</v>
      </c>
      <c r="H104" s="422" t="s">
        <v>447</v>
      </c>
      <c r="I104" s="382"/>
      <c r="J104" s="386">
        <v>120</v>
      </c>
      <c r="K104" s="345">
        <v>23.52</v>
      </c>
      <c r="M104" s="742"/>
      <c r="N104" s="422"/>
      <c r="O104" s="382"/>
      <c r="P104" s="386"/>
      <c r="Q104" s="642"/>
      <c r="Y104" s="376"/>
      <c r="Z104" s="457"/>
      <c r="AA104" s="382"/>
      <c r="AB104" s="386"/>
      <c r="AC104" s="342"/>
      <c r="AE104" s="376"/>
      <c r="AF104" s="458"/>
      <c r="AG104" s="382"/>
      <c r="AH104" s="386"/>
      <c r="AI104" s="342"/>
      <c r="AU104" s="593"/>
    </row>
    <row r="105" spans="1:83" ht="15" thickBot="1" x14ac:dyDescent="0.35">
      <c r="A105" s="331" t="s">
        <v>239</v>
      </c>
      <c r="B105" s="514" t="s">
        <v>631</v>
      </c>
      <c r="C105" s="332"/>
      <c r="D105" s="378" t="s">
        <v>201</v>
      </c>
      <c r="E105" s="380"/>
      <c r="G105" s="365">
        <v>46236</v>
      </c>
      <c r="H105" s="457" t="s">
        <v>448</v>
      </c>
      <c r="I105" s="382"/>
      <c r="J105" s="386">
        <v>120</v>
      </c>
      <c r="K105" s="345">
        <v>23.52</v>
      </c>
      <c r="M105" s="742"/>
      <c r="N105" s="422"/>
      <c r="O105" s="382"/>
      <c r="P105" s="386"/>
      <c r="Q105" s="642"/>
      <c r="Y105" s="376"/>
      <c r="Z105" s="457"/>
      <c r="AA105" s="382"/>
      <c r="AB105" s="386"/>
      <c r="AC105" s="342"/>
      <c r="AE105" s="376"/>
      <c r="AF105" s="458"/>
      <c r="AG105" s="382"/>
      <c r="AH105" s="386"/>
      <c r="AI105" s="342"/>
      <c r="AU105" s="593"/>
    </row>
    <row r="106" spans="1:83" ht="27.6" x14ac:dyDescent="0.3">
      <c r="A106" s="333" t="s">
        <v>445</v>
      </c>
      <c r="B106" s="334" t="s">
        <v>202</v>
      </c>
      <c r="C106" s="335" t="s">
        <v>203</v>
      </c>
      <c r="D106" s="336" t="s">
        <v>204</v>
      </c>
      <c r="E106" s="337" t="s">
        <v>205</v>
      </c>
      <c r="G106" s="365">
        <v>46236</v>
      </c>
      <c r="H106" s="422" t="s">
        <v>451</v>
      </c>
      <c r="I106" s="382"/>
      <c r="J106" s="386">
        <v>120</v>
      </c>
      <c r="K106" s="345">
        <v>23.52</v>
      </c>
      <c r="M106" s="742"/>
      <c r="N106" s="422"/>
      <c r="O106" s="382"/>
      <c r="P106" s="386"/>
      <c r="Q106" s="642"/>
      <c r="Y106" s="376"/>
      <c r="Z106" s="457"/>
      <c r="AA106" s="382"/>
      <c r="AB106" s="386"/>
      <c r="AC106" s="342"/>
      <c r="AE106" s="376"/>
      <c r="AF106" s="458"/>
      <c r="AG106" s="382"/>
      <c r="AH106" s="386"/>
      <c r="AI106" s="342"/>
      <c r="AU106" s="593"/>
    </row>
    <row r="107" spans="1:83" x14ac:dyDescent="0.3">
      <c r="A107" s="363"/>
      <c r="B107" s="422"/>
      <c r="C107" s="382"/>
      <c r="D107" s="386"/>
      <c r="E107" s="342"/>
      <c r="G107" s="365">
        <v>46236</v>
      </c>
      <c r="H107" s="457" t="s">
        <v>448</v>
      </c>
      <c r="I107" s="382"/>
      <c r="J107" s="386">
        <v>120</v>
      </c>
      <c r="K107" s="345">
        <v>23.52</v>
      </c>
      <c r="M107" s="376"/>
      <c r="N107" s="422"/>
      <c r="O107" s="382"/>
      <c r="P107" s="386"/>
      <c r="Q107" s="642"/>
      <c r="Y107" s="376"/>
      <c r="Z107" s="457"/>
      <c r="AA107" s="382"/>
      <c r="AB107" s="386"/>
      <c r="AC107" s="342"/>
      <c r="AE107" s="376"/>
      <c r="AF107" s="457"/>
      <c r="AG107" s="382"/>
      <c r="AH107" s="386"/>
      <c r="AI107" s="342"/>
      <c r="AU107" s="593"/>
    </row>
    <row r="108" spans="1:83" x14ac:dyDescent="0.3">
      <c r="A108" s="363"/>
      <c r="B108" s="458"/>
      <c r="C108" s="382"/>
      <c r="D108" s="386"/>
      <c r="E108" s="342"/>
      <c r="G108" s="365">
        <v>46236</v>
      </c>
      <c r="H108" s="422" t="s">
        <v>447</v>
      </c>
      <c r="I108" s="382"/>
      <c r="J108" s="386">
        <v>120</v>
      </c>
      <c r="K108" s="345">
        <v>23.52</v>
      </c>
      <c r="M108" s="376"/>
      <c r="N108" s="422"/>
      <c r="O108" s="382"/>
      <c r="P108" s="386"/>
      <c r="Q108" s="642"/>
      <c r="Y108" s="376"/>
      <c r="Z108" s="457"/>
      <c r="AA108" s="382"/>
      <c r="AB108" s="386"/>
      <c r="AC108" s="342"/>
      <c r="AE108" s="376"/>
      <c r="AF108" s="422"/>
      <c r="AG108" s="382"/>
      <c r="AH108" s="386"/>
      <c r="AI108" s="342"/>
    </row>
    <row r="109" spans="1:83" x14ac:dyDescent="0.3">
      <c r="A109" s="363"/>
      <c r="B109" s="422"/>
      <c r="C109" s="382"/>
      <c r="D109" s="386"/>
      <c r="E109" s="342"/>
      <c r="G109" s="365">
        <v>46236</v>
      </c>
      <c r="H109" s="457" t="s">
        <v>448</v>
      </c>
      <c r="I109" s="382"/>
      <c r="J109" s="386">
        <v>120</v>
      </c>
      <c r="K109" s="345">
        <v>22.85</v>
      </c>
      <c r="M109" s="376"/>
      <c r="N109" s="422"/>
      <c r="O109" s="382"/>
      <c r="P109" s="386"/>
      <c r="Q109" s="642"/>
      <c r="Y109" s="376"/>
      <c r="Z109" s="457"/>
      <c r="AA109" s="382"/>
      <c r="AB109" s="386"/>
      <c r="AC109" s="342"/>
      <c r="AE109" s="376"/>
      <c r="AF109" s="422"/>
      <c r="AG109" s="382"/>
      <c r="AH109" s="386"/>
      <c r="AI109" s="342"/>
    </row>
    <row r="110" spans="1:83" x14ac:dyDescent="0.3">
      <c r="A110" s="363"/>
      <c r="B110" s="458"/>
      <c r="C110" s="382"/>
      <c r="D110" s="386"/>
      <c r="E110" s="342"/>
      <c r="G110" s="363"/>
      <c r="H110" s="419"/>
      <c r="I110" s="420"/>
      <c r="J110" s="421"/>
      <c r="K110" s="342"/>
      <c r="M110" s="376"/>
      <c r="N110" s="422"/>
      <c r="O110" s="382"/>
      <c r="P110" s="386"/>
      <c r="Q110" s="639"/>
      <c r="Y110" s="376"/>
      <c r="Z110" s="457"/>
      <c r="AA110" s="382"/>
      <c r="AB110" s="386"/>
      <c r="AC110" s="342"/>
      <c r="AE110" s="376"/>
      <c r="AF110" s="422"/>
      <c r="AG110" s="382"/>
      <c r="AH110" s="386"/>
      <c r="AI110" s="342"/>
    </row>
    <row r="111" spans="1:83" x14ac:dyDescent="0.3">
      <c r="A111" s="363"/>
      <c r="B111" s="458"/>
      <c r="C111" s="382"/>
      <c r="D111" s="386"/>
      <c r="E111" s="342"/>
      <c r="G111" s="363"/>
      <c r="H111" s="419" t="s">
        <v>734</v>
      </c>
      <c r="I111" s="420"/>
      <c r="J111" s="421"/>
      <c r="K111" s="342">
        <v>1046.3</v>
      </c>
      <c r="M111" s="376"/>
      <c r="N111" s="422"/>
      <c r="O111" s="382"/>
      <c r="P111" s="386"/>
      <c r="Q111" s="639"/>
      <c r="Y111" s="376"/>
      <c r="Z111" s="422"/>
      <c r="AA111" s="382"/>
      <c r="AB111" s="386"/>
      <c r="AC111" s="342"/>
      <c r="AE111" s="376"/>
      <c r="AF111" s="422"/>
      <c r="AG111" s="382"/>
      <c r="AH111" s="386"/>
      <c r="AI111" s="342"/>
    </row>
    <row r="112" spans="1:83" x14ac:dyDescent="0.3">
      <c r="A112" s="363"/>
      <c r="B112" s="458"/>
      <c r="C112" s="382"/>
      <c r="D112" s="386"/>
      <c r="E112" s="342"/>
      <c r="G112" s="363"/>
      <c r="H112" s="422"/>
      <c r="I112" s="382"/>
      <c r="J112" s="386"/>
      <c r="K112" s="345"/>
      <c r="M112" s="376"/>
      <c r="N112" s="422"/>
      <c r="O112" s="382"/>
      <c r="P112" s="386"/>
      <c r="Q112" s="639"/>
      <c r="Y112" s="376"/>
      <c r="Z112" s="422"/>
      <c r="AA112" s="382"/>
      <c r="AB112" s="386"/>
      <c r="AC112" s="342"/>
      <c r="AE112" s="376"/>
      <c r="AF112" s="422"/>
      <c r="AG112" s="382"/>
      <c r="AH112" s="386"/>
      <c r="AI112" s="342"/>
    </row>
    <row r="113" spans="1:35" ht="15" thickBot="1" x14ac:dyDescent="0.35">
      <c r="A113" s="363"/>
      <c r="B113" s="458"/>
      <c r="C113" s="382"/>
      <c r="D113" s="386"/>
      <c r="E113" s="342"/>
      <c r="G113" s="363"/>
      <c r="H113" s="419"/>
      <c r="I113" s="420"/>
      <c r="J113" s="421"/>
      <c r="K113" s="342"/>
      <c r="M113" s="376"/>
      <c r="N113" s="422"/>
      <c r="O113" s="382"/>
      <c r="P113" s="386"/>
      <c r="Q113" s="639"/>
      <c r="Y113" s="376"/>
      <c r="Z113" s="422"/>
      <c r="AA113" s="382"/>
      <c r="AB113" s="386"/>
      <c r="AC113" s="342"/>
      <c r="AE113" s="338"/>
      <c r="AF113" s="610"/>
      <c r="AG113" s="612"/>
      <c r="AH113" s="421"/>
      <c r="AI113" s="342"/>
    </row>
    <row r="114" spans="1:35" ht="15" thickBot="1" x14ac:dyDescent="0.35">
      <c r="A114" s="363"/>
      <c r="B114" s="458"/>
      <c r="C114" s="382"/>
      <c r="D114" s="386"/>
      <c r="E114" s="342"/>
      <c r="G114" s="363"/>
      <c r="H114" s="419"/>
      <c r="I114" s="420"/>
      <c r="J114" s="421"/>
      <c r="K114" s="342"/>
      <c r="M114" s="376"/>
      <c r="N114" s="422"/>
      <c r="O114" s="382"/>
      <c r="P114" s="386"/>
      <c r="Q114" s="639"/>
      <c r="Y114" s="376"/>
      <c r="Z114" s="422"/>
      <c r="AA114" s="382"/>
      <c r="AB114" s="386"/>
      <c r="AC114" s="342"/>
      <c r="AE114" s="352"/>
      <c r="AF114" s="741"/>
      <c r="AG114" s="892" t="s">
        <v>45</v>
      </c>
      <c r="AH114" s="892"/>
      <c r="AI114" s="385">
        <f>SUM(AI98:AI113)</f>
        <v>122.85</v>
      </c>
    </row>
    <row r="115" spans="1:35" ht="15" thickBot="1" x14ac:dyDescent="0.35">
      <c r="A115" s="363"/>
      <c r="B115" s="458"/>
      <c r="C115" s="382"/>
      <c r="D115" s="386"/>
      <c r="E115" s="342"/>
      <c r="G115" s="363"/>
      <c r="H115" s="419"/>
      <c r="I115" s="420"/>
      <c r="J115" s="421"/>
      <c r="K115" s="342"/>
      <c r="M115" s="376"/>
      <c r="N115" s="422"/>
      <c r="O115" s="382"/>
      <c r="P115" s="386"/>
      <c r="Q115" s="639"/>
      <c r="Y115" s="376"/>
      <c r="Z115" s="422"/>
      <c r="AA115" s="382"/>
      <c r="AB115" s="386"/>
      <c r="AC115" s="342"/>
    </row>
    <row r="116" spans="1:35" ht="15" thickBot="1" x14ac:dyDescent="0.35">
      <c r="A116" s="363"/>
      <c r="B116" s="458"/>
      <c r="C116" s="382"/>
      <c r="D116" s="386"/>
      <c r="E116" s="342"/>
      <c r="G116" s="365"/>
      <c r="H116" s="346"/>
      <c r="I116" s="343"/>
      <c r="J116" s="344"/>
      <c r="K116" s="345"/>
      <c r="M116" s="640"/>
      <c r="N116" s="640"/>
      <c r="O116" s="640"/>
      <c r="P116" s="641"/>
      <c r="Q116" s="639"/>
      <c r="Y116" s="352"/>
      <c r="Z116" s="678"/>
      <c r="AA116" s="892" t="s">
        <v>45</v>
      </c>
      <c r="AB116" s="892"/>
      <c r="AC116" s="385">
        <f>SUM(AC99:AC115)</f>
        <v>772.44</v>
      </c>
      <c r="AE116" s="890" t="s">
        <v>138</v>
      </c>
      <c r="AF116" s="896"/>
      <c r="AG116" s="322"/>
      <c r="AH116" s="383" t="s">
        <v>199</v>
      </c>
      <c r="AI116" s="384"/>
    </row>
    <row r="117" spans="1:35" ht="15" thickBot="1" x14ac:dyDescent="0.35">
      <c r="A117" s="363"/>
      <c r="B117" s="458"/>
      <c r="C117" s="382"/>
      <c r="D117" s="386"/>
      <c r="E117" s="342"/>
      <c r="G117" s="366"/>
      <c r="H117" s="348"/>
      <c r="I117" s="349"/>
      <c r="J117" s="350"/>
      <c r="K117" s="351"/>
      <c r="M117" s="640"/>
      <c r="N117" s="640"/>
      <c r="O117" s="640"/>
      <c r="P117" s="641"/>
      <c r="Q117" s="639"/>
      <c r="AE117" s="325" t="s">
        <v>137</v>
      </c>
      <c r="AF117" s="326"/>
      <c r="AG117" s="327"/>
      <c r="AH117" s="378" t="s">
        <v>12</v>
      </c>
      <c r="AI117" s="379"/>
    </row>
    <row r="118" spans="1:35" ht="15" thickBot="1" x14ac:dyDescent="0.35">
      <c r="A118" s="352"/>
      <c r="B118" s="726"/>
      <c r="C118" s="892" t="s">
        <v>45</v>
      </c>
      <c r="D118" s="892"/>
      <c r="E118" s="385">
        <f>SUM(E107:E117)</f>
        <v>0</v>
      </c>
      <c r="G118" s="352"/>
      <c r="H118" s="505"/>
      <c r="I118" s="505" t="s">
        <v>45</v>
      </c>
      <c r="J118" s="505"/>
      <c r="K118" s="385">
        <f>SUM(K96:K117)</f>
        <v>1374.9099999999999</v>
      </c>
      <c r="M118" s="640"/>
      <c r="N118" s="640"/>
      <c r="O118" s="640"/>
      <c r="P118" s="641"/>
      <c r="Q118" s="639"/>
      <c r="AE118" s="328"/>
      <c r="AF118" s="329"/>
      <c r="AG118" s="381"/>
      <c r="AH118" s="378" t="s">
        <v>200</v>
      </c>
      <c r="AI118" s="379"/>
    </row>
    <row r="119" spans="1:35" ht="18" thickBot="1" x14ac:dyDescent="0.35">
      <c r="A119" s="534"/>
      <c r="B119" s="533"/>
      <c r="C119" s="530"/>
      <c r="D119" s="531"/>
      <c r="E119" s="535"/>
      <c r="M119" s="640"/>
      <c r="N119" s="640"/>
      <c r="O119" s="640"/>
      <c r="P119" s="641"/>
      <c r="Q119" s="639"/>
      <c r="AE119" s="331" t="s">
        <v>239</v>
      </c>
      <c r="AF119" s="508" t="s">
        <v>580</v>
      </c>
      <c r="AG119" s="332"/>
      <c r="AH119" s="378" t="s">
        <v>201</v>
      </c>
      <c r="AI119" s="380"/>
    </row>
    <row r="120" spans="1:35" ht="27.6" x14ac:dyDescent="0.3">
      <c r="A120" s="890" t="s">
        <v>145</v>
      </c>
      <c r="B120" s="891"/>
      <c r="C120" s="322"/>
      <c r="D120" s="383" t="s">
        <v>199</v>
      </c>
      <c r="E120" s="384"/>
      <c r="G120" s="503" t="s">
        <v>171</v>
      </c>
      <c r="H120" s="504"/>
      <c r="I120" s="322"/>
      <c r="J120" s="383" t="s">
        <v>199</v>
      </c>
      <c r="K120" s="384">
        <v>2023</v>
      </c>
      <c r="M120" s="640"/>
      <c r="N120" s="640"/>
      <c r="O120" s="640"/>
      <c r="P120" s="641"/>
      <c r="Q120" s="639"/>
      <c r="AE120" s="333" t="s">
        <v>445</v>
      </c>
      <c r="AF120" s="334" t="s">
        <v>202</v>
      </c>
      <c r="AG120" s="335" t="s">
        <v>203</v>
      </c>
      <c r="AH120" s="336" t="s">
        <v>204</v>
      </c>
      <c r="AI120" s="337" t="s">
        <v>205</v>
      </c>
    </row>
    <row r="121" spans="1:35" x14ac:dyDescent="0.3">
      <c r="A121" s="325" t="s">
        <v>146</v>
      </c>
      <c r="B121" s="326"/>
      <c r="C121" s="327"/>
      <c r="D121" s="378" t="s">
        <v>12</v>
      </c>
      <c r="E121" s="379"/>
      <c r="G121" s="325" t="s">
        <v>152</v>
      </c>
      <c r="H121" s="326"/>
      <c r="I121" s="327"/>
      <c r="J121" s="378" t="s">
        <v>12</v>
      </c>
      <c r="K121" s="379">
        <v>11</v>
      </c>
      <c r="M121" s="640"/>
      <c r="N121" s="640"/>
      <c r="O121" s="640"/>
      <c r="P121" s="641"/>
      <c r="Q121" s="639"/>
      <c r="AE121" s="376"/>
      <c r="AF121" s="422"/>
      <c r="AG121" s="382"/>
      <c r="AH121" s="386"/>
      <c r="AI121" s="342"/>
    </row>
    <row r="122" spans="1:35" ht="15" thickBot="1" x14ac:dyDescent="0.35">
      <c r="A122" s="328"/>
      <c r="B122" s="329"/>
      <c r="C122" s="381"/>
      <c r="D122" s="378" t="s">
        <v>200</v>
      </c>
      <c r="E122" s="379"/>
      <c r="G122" s="328"/>
      <c r="H122" s="329"/>
      <c r="I122" s="381"/>
      <c r="J122" s="378" t="s">
        <v>200</v>
      </c>
      <c r="K122" s="379">
        <v>5</v>
      </c>
      <c r="M122" s="640"/>
      <c r="N122" s="640"/>
      <c r="O122" s="640"/>
      <c r="P122" s="641"/>
      <c r="Q122" s="639"/>
      <c r="AE122" s="376"/>
      <c r="AF122" s="457"/>
      <c r="AG122" s="382"/>
      <c r="AH122" s="386"/>
      <c r="AI122" s="342"/>
    </row>
    <row r="123" spans="1:35" ht="17.399999999999999" thickBot="1" x14ac:dyDescent="0.35">
      <c r="A123" s="331" t="s">
        <v>239</v>
      </c>
      <c r="B123" s="514" t="s">
        <v>631</v>
      </c>
      <c r="C123" s="332"/>
      <c r="D123" s="378" t="s">
        <v>201</v>
      </c>
      <c r="E123" s="380"/>
      <c r="G123" s="358" t="s">
        <v>239</v>
      </c>
      <c r="H123" s="362" t="s">
        <v>525</v>
      </c>
      <c r="I123" s="332"/>
      <c r="J123" s="378" t="s">
        <v>201</v>
      </c>
      <c r="K123" s="380">
        <v>45168</v>
      </c>
      <c r="M123" s="640"/>
      <c r="N123" s="640"/>
      <c r="O123" s="640"/>
      <c r="P123" s="641"/>
      <c r="Q123" s="639"/>
      <c r="AE123" s="376"/>
      <c r="AF123" s="457"/>
      <c r="AG123" s="382"/>
      <c r="AH123" s="386"/>
      <c r="AI123" s="342"/>
    </row>
    <row r="124" spans="1:35" ht="27.6" x14ac:dyDescent="0.3">
      <c r="A124" s="333" t="s">
        <v>445</v>
      </c>
      <c r="B124" s="334" t="s">
        <v>202</v>
      </c>
      <c r="C124" s="335" t="s">
        <v>203</v>
      </c>
      <c r="D124" s="336" t="s">
        <v>204</v>
      </c>
      <c r="E124" s="337" t="s">
        <v>205</v>
      </c>
      <c r="G124" s="333" t="s">
        <v>445</v>
      </c>
      <c r="H124" s="334" t="s">
        <v>202</v>
      </c>
      <c r="I124" s="335" t="s">
        <v>203</v>
      </c>
      <c r="J124" s="336" t="s">
        <v>204</v>
      </c>
      <c r="K124" s="724" t="s">
        <v>205</v>
      </c>
      <c r="M124" s="640"/>
      <c r="N124" s="640"/>
      <c r="O124" s="640"/>
      <c r="P124" s="641"/>
      <c r="Q124" s="639"/>
      <c r="AE124" s="376"/>
      <c r="AF124" s="458"/>
      <c r="AG124" s="382"/>
      <c r="AH124" s="386"/>
      <c r="AI124" s="342"/>
    </row>
    <row r="125" spans="1:35" x14ac:dyDescent="0.3">
      <c r="A125" s="363"/>
      <c r="B125" s="457"/>
      <c r="C125" s="382"/>
      <c r="D125" s="386"/>
      <c r="E125" s="342"/>
      <c r="G125" s="365">
        <v>46236</v>
      </c>
      <c r="H125" s="422" t="s">
        <v>447</v>
      </c>
      <c r="I125" s="382"/>
      <c r="J125" s="386">
        <v>120</v>
      </c>
      <c r="K125" s="345">
        <v>23.52</v>
      </c>
      <c r="M125" s="640"/>
      <c r="N125" s="640"/>
      <c r="O125" s="640"/>
      <c r="P125" s="641"/>
      <c r="Q125" s="639"/>
      <c r="AE125" s="376"/>
      <c r="AF125" s="457"/>
      <c r="AG125" s="382"/>
      <c r="AH125" s="386"/>
      <c r="AI125" s="342"/>
    </row>
    <row r="126" spans="1:35" x14ac:dyDescent="0.3">
      <c r="A126" s="363"/>
      <c r="B126" s="422"/>
      <c r="C126" s="382"/>
      <c r="D126" s="386"/>
      <c r="E126" s="342"/>
      <c r="G126" s="365">
        <v>46236</v>
      </c>
      <c r="H126" s="457" t="s">
        <v>448</v>
      </c>
      <c r="I126" s="382"/>
      <c r="J126" s="386">
        <v>120</v>
      </c>
      <c r="K126" s="345">
        <v>23.52</v>
      </c>
      <c r="M126" s="640"/>
      <c r="N126" s="640"/>
      <c r="O126" s="640"/>
      <c r="P126" s="641"/>
      <c r="Q126" s="639"/>
      <c r="AE126" s="376"/>
      <c r="AF126" s="457"/>
      <c r="AG126" s="382"/>
      <c r="AH126" s="386"/>
      <c r="AI126" s="342"/>
    </row>
    <row r="127" spans="1:35" x14ac:dyDescent="0.3">
      <c r="A127" s="363"/>
      <c r="B127" s="457"/>
      <c r="C127" s="382"/>
      <c r="D127" s="386"/>
      <c r="E127" s="342"/>
      <c r="G127" s="365">
        <v>46236</v>
      </c>
      <c r="H127" s="422" t="s">
        <v>447</v>
      </c>
      <c r="I127" s="382"/>
      <c r="J127" s="386">
        <v>120</v>
      </c>
      <c r="K127" s="345">
        <v>23.52</v>
      </c>
      <c r="M127" s="640"/>
      <c r="N127" s="640"/>
      <c r="O127" s="640"/>
      <c r="P127" s="641"/>
      <c r="Q127" s="639"/>
      <c r="AE127" s="376"/>
      <c r="AF127" s="457"/>
      <c r="AG127" s="382"/>
      <c r="AH127" s="386"/>
      <c r="AI127" s="342"/>
    </row>
    <row r="128" spans="1:35" x14ac:dyDescent="0.3">
      <c r="A128" s="363"/>
      <c r="B128" s="457"/>
      <c r="C128" s="382"/>
      <c r="D128" s="386"/>
      <c r="E128" s="342"/>
      <c r="G128" s="365">
        <v>46236</v>
      </c>
      <c r="H128" s="457" t="s">
        <v>449</v>
      </c>
      <c r="I128" s="382"/>
      <c r="J128" s="386">
        <v>120</v>
      </c>
      <c r="K128" s="345">
        <v>23.52</v>
      </c>
      <c r="M128" s="643"/>
      <c r="N128" s="643"/>
      <c r="O128" s="643"/>
      <c r="P128" s="644" t="s">
        <v>16</v>
      </c>
      <c r="Q128" s="645">
        <f>SUM(Q95:Q127)</f>
        <v>0</v>
      </c>
      <c r="AE128" s="376"/>
      <c r="AF128" s="457"/>
      <c r="AG128" s="382"/>
      <c r="AH128" s="386"/>
      <c r="AI128" s="342"/>
    </row>
    <row r="129" spans="1:35" ht="15" thickBot="1" x14ac:dyDescent="0.35">
      <c r="A129" s="363"/>
      <c r="B129" s="387"/>
      <c r="C129" s="382"/>
      <c r="D129" s="386"/>
      <c r="E129" s="342"/>
      <c r="G129" s="365">
        <v>46236</v>
      </c>
      <c r="H129" s="422" t="s">
        <v>447</v>
      </c>
      <c r="I129" s="382"/>
      <c r="J129" s="386">
        <v>120</v>
      </c>
      <c r="K129" s="345">
        <v>23.52</v>
      </c>
      <c r="AE129" s="376"/>
      <c r="AF129" s="457"/>
      <c r="AG129" s="382"/>
      <c r="AH129" s="386"/>
      <c r="AI129" s="342"/>
    </row>
    <row r="130" spans="1:35" ht="15" thickBot="1" x14ac:dyDescent="0.35">
      <c r="A130" s="352"/>
      <c r="B130" s="632"/>
      <c r="C130" s="892" t="s">
        <v>45</v>
      </c>
      <c r="D130" s="892"/>
      <c r="E130" s="385">
        <f>SUM(E125:E129)</f>
        <v>0</v>
      </c>
      <c r="G130" s="365">
        <v>46236</v>
      </c>
      <c r="H130" s="457" t="s">
        <v>448</v>
      </c>
      <c r="I130" s="382"/>
      <c r="J130" s="386">
        <v>120</v>
      </c>
      <c r="K130" s="345">
        <v>23.52</v>
      </c>
      <c r="M130" s="890" t="s">
        <v>452</v>
      </c>
      <c r="N130" s="891"/>
      <c r="O130" s="322"/>
      <c r="P130" s="383" t="s">
        <v>199</v>
      </c>
      <c r="Q130" s="384"/>
      <c r="AE130" s="338"/>
      <c r="AF130" s="638"/>
      <c r="AG130" s="611"/>
      <c r="AH130" s="585"/>
      <c r="AI130" s="342"/>
    </row>
    <row r="131" spans="1:35" ht="15" thickBot="1" x14ac:dyDescent="0.35">
      <c r="A131" s="353"/>
      <c r="B131" s="353"/>
      <c r="C131" s="893"/>
      <c r="D131" s="893"/>
      <c r="E131" s="286"/>
      <c r="G131" s="365">
        <v>46236</v>
      </c>
      <c r="H131" s="422" t="s">
        <v>447</v>
      </c>
      <c r="I131" s="382"/>
      <c r="J131" s="386">
        <v>120</v>
      </c>
      <c r="K131" s="345">
        <v>23.52</v>
      </c>
      <c r="M131" s="325" t="s">
        <v>161</v>
      </c>
      <c r="N131" s="326"/>
      <c r="O131" s="327"/>
      <c r="P131" s="378" t="s">
        <v>12</v>
      </c>
      <c r="Q131" s="379"/>
      <c r="AE131" s="338"/>
      <c r="AF131" s="638"/>
      <c r="AG131" s="611"/>
      <c r="AH131" s="585"/>
      <c r="AI131" s="342"/>
    </row>
    <row r="132" spans="1:35" ht="15" thickBot="1" x14ac:dyDescent="0.35">
      <c r="A132" s="890" t="s">
        <v>145</v>
      </c>
      <c r="B132" s="891"/>
      <c r="C132" s="322"/>
      <c r="D132" s="383" t="s">
        <v>199</v>
      </c>
      <c r="E132" s="384"/>
      <c r="G132" s="365">
        <v>46236</v>
      </c>
      <c r="H132" s="457" t="s">
        <v>450</v>
      </c>
      <c r="I132" s="382"/>
      <c r="J132" s="386">
        <v>120</v>
      </c>
      <c r="K132" s="345">
        <v>23.52</v>
      </c>
      <c r="M132" s="328"/>
      <c r="N132" s="329"/>
      <c r="O132" s="381"/>
      <c r="P132" s="378" t="s">
        <v>200</v>
      </c>
      <c r="Q132" s="379"/>
      <c r="AE132" s="338"/>
      <c r="AF132" s="638"/>
      <c r="AG132" s="611"/>
      <c r="AH132" s="585"/>
      <c r="AI132" s="342"/>
    </row>
    <row r="133" spans="1:35" ht="18" thickBot="1" x14ac:dyDescent="0.35">
      <c r="A133" s="325" t="s">
        <v>146</v>
      </c>
      <c r="B133" s="326"/>
      <c r="C133" s="327"/>
      <c r="D133" s="378" t="s">
        <v>12</v>
      </c>
      <c r="E133" s="379"/>
      <c r="G133" s="365">
        <v>46236</v>
      </c>
      <c r="H133" s="422" t="s">
        <v>447</v>
      </c>
      <c r="I133" s="382"/>
      <c r="J133" s="386">
        <v>120</v>
      </c>
      <c r="K133" s="345">
        <v>23.52</v>
      </c>
      <c r="M133" s="331" t="s">
        <v>239</v>
      </c>
      <c r="N133" s="508" t="s">
        <v>628</v>
      </c>
      <c r="O133" s="332"/>
      <c r="P133" s="378" t="s">
        <v>201</v>
      </c>
      <c r="Q133" s="380"/>
      <c r="AE133" s="338"/>
      <c r="AF133" s="638"/>
      <c r="AG133" s="611"/>
      <c r="AH133" s="585"/>
      <c r="AI133" s="342"/>
    </row>
    <row r="134" spans="1:35" ht="28.2" thickBot="1" x14ac:dyDescent="0.35">
      <c r="A134" s="328"/>
      <c r="B134" s="329"/>
      <c r="C134" s="381"/>
      <c r="D134" s="378" t="s">
        <v>200</v>
      </c>
      <c r="E134" s="379"/>
      <c r="G134" s="365">
        <v>46236</v>
      </c>
      <c r="H134" s="457" t="s">
        <v>448</v>
      </c>
      <c r="I134" s="382"/>
      <c r="J134" s="386">
        <v>120</v>
      </c>
      <c r="K134" s="345">
        <v>23.52</v>
      </c>
      <c r="M134" s="333" t="s">
        <v>445</v>
      </c>
      <c r="N134" s="334" t="s">
        <v>202</v>
      </c>
      <c r="O134" s="335" t="s">
        <v>203</v>
      </c>
      <c r="P134" s="336" t="s">
        <v>204</v>
      </c>
      <c r="Q134" s="337" t="s">
        <v>205</v>
      </c>
      <c r="AE134" s="338"/>
      <c r="AF134" s="638"/>
      <c r="AG134" s="611"/>
      <c r="AH134" s="585"/>
      <c r="AI134" s="342"/>
    </row>
    <row r="135" spans="1:35" ht="15" thickBot="1" x14ac:dyDescent="0.35">
      <c r="A135" s="331" t="s">
        <v>239</v>
      </c>
      <c r="B135" s="514" t="s">
        <v>631</v>
      </c>
      <c r="C135" s="332"/>
      <c r="D135" s="378" t="s">
        <v>201</v>
      </c>
      <c r="E135" s="380"/>
      <c r="G135" s="365">
        <v>46236</v>
      </c>
      <c r="H135" s="422" t="s">
        <v>451</v>
      </c>
      <c r="I135" s="382"/>
      <c r="J135" s="386">
        <v>120</v>
      </c>
      <c r="K135" s="345">
        <v>23.52</v>
      </c>
      <c r="M135" s="742"/>
      <c r="N135" s="422"/>
      <c r="O135" s="382"/>
      <c r="P135" s="386"/>
      <c r="Q135" s="769"/>
      <c r="AE135" s="338"/>
      <c r="AF135" s="638"/>
      <c r="AG135" s="611"/>
      <c r="AH135" s="585"/>
      <c r="AI135" s="342"/>
    </row>
    <row r="136" spans="1:35" ht="28.2" thickBot="1" x14ac:dyDescent="0.35">
      <c r="A136" s="333" t="s">
        <v>445</v>
      </c>
      <c r="B136" s="334" t="s">
        <v>202</v>
      </c>
      <c r="C136" s="335" t="s">
        <v>203</v>
      </c>
      <c r="D136" s="336" t="s">
        <v>204</v>
      </c>
      <c r="E136" s="337" t="s">
        <v>205</v>
      </c>
      <c r="G136" s="365">
        <v>46236</v>
      </c>
      <c r="H136" s="457" t="s">
        <v>448</v>
      </c>
      <c r="I136" s="382"/>
      <c r="J136" s="386">
        <v>120</v>
      </c>
      <c r="K136" s="345">
        <v>23.52</v>
      </c>
      <c r="M136" s="742"/>
      <c r="N136" s="457"/>
      <c r="O136" s="382"/>
      <c r="P136" s="386"/>
      <c r="Q136" s="769"/>
      <c r="AE136" s="338"/>
      <c r="AF136" s="610"/>
      <c r="AG136" s="612"/>
      <c r="AH136" s="421"/>
      <c r="AI136" s="342"/>
    </row>
    <row r="137" spans="1:35" ht="15" thickBot="1" x14ac:dyDescent="0.35">
      <c r="A137" s="376"/>
      <c r="B137" s="422"/>
      <c r="C137" s="382"/>
      <c r="D137" s="386"/>
      <c r="E137" s="520">
        <v>0</v>
      </c>
      <c r="G137" s="365">
        <v>46236</v>
      </c>
      <c r="H137" s="422" t="s">
        <v>447</v>
      </c>
      <c r="I137" s="382"/>
      <c r="J137" s="386">
        <v>120</v>
      </c>
      <c r="K137" s="345">
        <v>23.52</v>
      </c>
      <c r="M137" s="742"/>
      <c r="N137" s="457"/>
      <c r="O137" s="382"/>
      <c r="P137" s="386"/>
      <c r="Q137" s="769"/>
      <c r="AE137" s="352"/>
      <c r="AF137" s="741"/>
      <c r="AG137" s="892" t="s">
        <v>45</v>
      </c>
      <c r="AH137" s="892"/>
      <c r="AI137" s="385">
        <f>SUM(AI121:AI136)</f>
        <v>0</v>
      </c>
    </row>
    <row r="138" spans="1:35" x14ac:dyDescent="0.3">
      <c r="A138" s="376"/>
      <c r="B138" s="458"/>
      <c r="C138" s="382"/>
      <c r="D138" s="386"/>
      <c r="E138" s="520">
        <v>0</v>
      </c>
      <c r="G138" s="365">
        <v>46236</v>
      </c>
      <c r="H138" s="457" t="s">
        <v>448</v>
      </c>
      <c r="I138" s="382"/>
      <c r="J138" s="386">
        <v>120</v>
      </c>
      <c r="K138" s="345">
        <v>22.85</v>
      </c>
      <c r="M138" s="742"/>
      <c r="N138" s="458"/>
      <c r="O138" s="382"/>
      <c r="P138" s="386"/>
      <c r="Q138" s="769"/>
    </row>
    <row r="139" spans="1:35" ht="15" thickBot="1" x14ac:dyDescent="0.35">
      <c r="A139" s="376"/>
      <c r="B139" s="422"/>
      <c r="C139" s="382"/>
      <c r="D139" s="386"/>
      <c r="E139" s="520">
        <v>0</v>
      </c>
      <c r="G139" s="363"/>
      <c r="H139" s="422"/>
      <c r="I139" s="584"/>
      <c r="J139" s="386"/>
      <c r="K139" s="342"/>
      <c r="M139" s="338"/>
      <c r="N139" s="457"/>
      <c r="O139" s="382"/>
      <c r="P139" s="386"/>
      <c r="Q139" s="769"/>
    </row>
    <row r="140" spans="1:35" ht="15" thickBot="1" x14ac:dyDescent="0.35">
      <c r="A140" s="376"/>
      <c r="B140" s="458"/>
      <c r="C140" s="382"/>
      <c r="D140" s="386"/>
      <c r="E140" s="520">
        <v>0</v>
      </c>
      <c r="G140" s="366"/>
      <c r="H140" s="422" t="s">
        <v>556</v>
      </c>
      <c r="I140" s="584"/>
      <c r="J140" s="386"/>
      <c r="K140" s="351"/>
      <c r="M140" s="352"/>
      <c r="N140" s="722"/>
      <c r="O140" s="722" t="s">
        <v>45</v>
      </c>
      <c r="P140" s="722"/>
      <c r="Q140" s="385">
        <f>SUM(Q135:Q139)</f>
        <v>0</v>
      </c>
    </row>
    <row r="141" spans="1:35" ht="15" thickBot="1" x14ac:dyDescent="0.35">
      <c r="A141" s="376"/>
      <c r="B141" s="458"/>
      <c r="C141" s="382"/>
      <c r="D141" s="386"/>
      <c r="E141" s="520">
        <v>0</v>
      </c>
      <c r="G141" s="352"/>
      <c r="H141" s="505"/>
      <c r="I141" s="505" t="s">
        <v>45</v>
      </c>
      <c r="J141" s="505"/>
      <c r="K141" s="385">
        <f>SUM(K125:K140)</f>
        <v>328.61</v>
      </c>
    </row>
    <row r="142" spans="1:35" ht="15" thickBot="1" x14ac:dyDescent="0.35">
      <c r="A142" s="376"/>
      <c r="B142" s="458"/>
      <c r="C142" s="382"/>
      <c r="D142" s="386"/>
      <c r="E142" s="520">
        <v>0</v>
      </c>
      <c r="M142" s="890" t="s">
        <v>452</v>
      </c>
      <c r="N142" s="891"/>
      <c r="O142" s="322"/>
      <c r="P142" s="383" t="s">
        <v>199</v>
      </c>
      <c r="Q142" s="384"/>
    </row>
    <row r="143" spans="1:35" x14ac:dyDescent="0.3">
      <c r="A143" s="376"/>
      <c r="B143" s="458"/>
      <c r="C143" s="382"/>
      <c r="D143" s="386"/>
      <c r="E143" s="520">
        <v>0</v>
      </c>
      <c r="G143" s="580" t="s">
        <v>171</v>
      </c>
      <c r="H143" s="581"/>
      <c r="I143" s="322"/>
      <c r="J143" s="383" t="s">
        <v>199</v>
      </c>
      <c r="K143" s="384"/>
      <c r="M143" s="325" t="s">
        <v>161</v>
      </c>
      <c r="N143" s="326"/>
      <c r="O143" s="327"/>
      <c r="P143" s="378" t="s">
        <v>12</v>
      </c>
      <c r="Q143" s="379"/>
    </row>
    <row r="144" spans="1:35" ht="15" thickBot="1" x14ac:dyDescent="0.35">
      <c r="A144" s="376"/>
      <c r="B144" s="458"/>
      <c r="C144" s="382"/>
      <c r="D144" s="386"/>
      <c r="E144" s="520">
        <v>0</v>
      </c>
      <c r="G144" s="325" t="s">
        <v>152</v>
      </c>
      <c r="H144" s="326"/>
      <c r="I144" s="327"/>
      <c r="J144" s="378" t="s">
        <v>12</v>
      </c>
      <c r="K144" s="379"/>
      <c r="M144" s="328"/>
      <c r="N144" s="329"/>
      <c r="O144" s="381"/>
      <c r="P144" s="378" t="s">
        <v>200</v>
      </c>
      <c r="Q144" s="379"/>
    </row>
    <row r="145" spans="1:17" ht="18" thickBot="1" x14ac:dyDescent="0.35">
      <c r="A145" s="376"/>
      <c r="B145" s="458"/>
      <c r="C145" s="382"/>
      <c r="D145" s="386"/>
      <c r="E145" s="520">
        <v>0</v>
      </c>
      <c r="G145" s="328"/>
      <c r="H145" s="329"/>
      <c r="I145" s="381"/>
      <c r="J145" s="378" t="s">
        <v>200</v>
      </c>
      <c r="K145" s="379"/>
      <c r="M145" s="331" t="s">
        <v>239</v>
      </c>
      <c r="N145" s="508" t="s">
        <v>628</v>
      </c>
      <c r="O145" s="332"/>
      <c r="P145" s="378" t="s">
        <v>201</v>
      </c>
      <c r="Q145" s="380"/>
    </row>
    <row r="146" spans="1:17" ht="15" thickBot="1" x14ac:dyDescent="0.35">
      <c r="A146" s="376"/>
      <c r="B146" s="458"/>
      <c r="C146" s="382"/>
      <c r="D146" s="386"/>
      <c r="E146" s="520">
        <v>0</v>
      </c>
      <c r="G146" s="358" t="s">
        <v>239</v>
      </c>
      <c r="H146" s="514" t="s">
        <v>525</v>
      </c>
      <c r="I146" s="332"/>
      <c r="J146" s="378" t="s">
        <v>201</v>
      </c>
      <c r="K146" s="380" t="s">
        <v>556</v>
      </c>
      <c r="M146" s="333"/>
      <c r="N146" s="334"/>
      <c r="O146" s="335"/>
      <c r="P146" s="336"/>
      <c r="Q146" s="337"/>
    </row>
    <row r="147" spans="1:17" ht="41.4" x14ac:dyDescent="0.3">
      <c r="A147" s="376"/>
      <c r="B147" s="458"/>
      <c r="C147" s="382"/>
      <c r="D147" s="386"/>
      <c r="E147" s="520">
        <v>0</v>
      </c>
      <c r="G147" s="333" t="s">
        <v>445</v>
      </c>
      <c r="H147" s="334" t="s">
        <v>202</v>
      </c>
      <c r="I147" s="335" t="s">
        <v>203</v>
      </c>
      <c r="J147" s="336" t="s">
        <v>204</v>
      </c>
      <c r="K147" s="337" t="s">
        <v>205</v>
      </c>
      <c r="M147" s="376"/>
      <c r="N147" s="516" t="s">
        <v>202</v>
      </c>
      <c r="O147" s="517" t="s">
        <v>203</v>
      </c>
      <c r="P147" s="518" t="s">
        <v>204</v>
      </c>
      <c r="Q147" s="342"/>
    </row>
    <row r="148" spans="1:17" x14ac:dyDescent="0.3">
      <c r="A148" s="376"/>
      <c r="B148" s="457"/>
      <c r="C148" s="382"/>
      <c r="D148" s="386"/>
      <c r="E148" s="520">
        <v>0</v>
      </c>
      <c r="G148" s="376"/>
      <c r="H148" s="422"/>
      <c r="I148" s="382"/>
      <c r="J148" s="386"/>
      <c r="K148" s="520"/>
      <c r="M148" s="742"/>
      <c r="N148" s="422"/>
      <c r="O148" s="382"/>
      <c r="P148" s="386"/>
      <c r="Q148" s="769"/>
    </row>
    <row r="149" spans="1:17" x14ac:dyDescent="0.3">
      <c r="A149" s="376"/>
      <c r="B149" s="422"/>
      <c r="C149" s="382"/>
      <c r="D149" s="386"/>
      <c r="E149" s="520">
        <v>0</v>
      </c>
      <c r="G149" s="376"/>
      <c r="H149" s="457"/>
      <c r="I149" s="382"/>
      <c r="J149" s="386"/>
      <c r="K149" s="520"/>
      <c r="M149" s="742"/>
      <c r="N149" s="457"/>
      <c r="O149" s="382"/>
      <c r="P149" s="386"/>
      <c r="Q149" s="769"/>
    </row>
    <row r="150" spans="1:17" x14ac:dyDescent="0.3">
      <c r="A150" s="376"/>
      <c r="B150" s="457"/>
      <c r="C150" s="382"/>
      <c r="D150" s="386"/>
      <c r="E150" s="520"/>
      <c r="G150" s="376"/>
      <c r="H150" s="422"/>
      <c r="I150" s="382"/>
      <c r="J150" s="386"/>
      <c r="K150" s="520"/>
      <c r="M150" s="742"/>
      <c r="N150" s="457"/>
      <c r="O150" s="382"/>
      <c r="P150" s="386"/>
      <c r="Q150" s="769"/>
    </row>
    <row r="151" spans="1:17" x14ac:dyDescent="0.3">
      <c r="A151" s="376"/>
      <c r="B151" s="457"/>
      <c r="C151" s="382"/>
      <c r="D151" s="386"/>
      <c r="E151" s="520"/>
      <c r="G151" s="376"/>
      <c r="H151" s="457"/>
      <c r="I151" s="382"/>
      <c r="J151" s="386"/>
      <c r="K151" s="520"/>
      <c r="M151" s="742"/>
      <c r="N151" s="458"/>
      <c r="O151" s="382"/>
      <c r="P151" s="386"/>
      <c r="Q151" s="769"/>
    </row>
    <row r="152" spans="1:17" x14ac:dyDescent="0.3">
      <c r="A152" s="376"/>
      <c r="B152" s="457"/>
      <c r="C152" s="382"/>
      <c r="D152" s="386"/>
      <c r="E152" s="520"/>
      <c r="G152" s="376"/>
      <c r="H152" s="422"/>
      <c r="I152" s="382"/>
      <c r="J152" s="386"/>
      <c r="K152" s="520"/>
      <c r="M152" s="742"/>
      <c r="N152" s="422"/>
      <c r="O152" s="382"/>
      <c r="P152" s="386"/>
      <c r="Q152" s="520"/>
    </row>
    <row r="153" spans="1:17" ht="15" thickBot="1" x14ac:dyDescent="0.35">
      <c r="A153" s="376"/>
      <c r="B153" s="457"/>
      <c r="C153" s="382"/>
      <c r="D153" s="386"/>
      <c r="E153" s="520"/>
      <c r="G153" s="376"/>
      <c r="H153" s="457"/>
      <c r="I153" s="382"/>
      <c r="J153" s="386"/>
      <c r="K153" s="520"/>
      <c r="M153" s="742"/>
      <c r="N153" s="422"/>
      <c r="O153" s="382"/>
      <c r="P153" s="386"/>
      <c r="Q153" s="342"/>
    </row>
    <row r="154" spans="1:17" ht="15" thickBot="1" x14ac:dyDescent="0.35">
      <c r="A154" s="352"/>
      <c r="B154" s="632"/>
      <c r="C154" s="892" t="s">
        <v>45</v>
      </c>
      <c r="D154" s="892"/>
      <c r="E154" s="385">
        <f>SUM(E137:E153)</f>
        <v>0</v>
      </c>
      <c r="G154" s="376"/>
      <c r="H154" s="422"/>
      <c r="I154" s="382"/>
      <c r="J154" s="386"/>
      <c r="K154" s="520"/>
      <c r="M154" s="376"/>
      <c r="N154" s="458"/>
      <c r="O154" s="382"/>
      <c r="P154" s="386"/>
      <c r="Q154" s="342"/>
    </row>
    <row r="155" spans="1:17" ht="15" thickBot="1" x14ac:dyDescent="0.35">
      <c r="A155" s="534"/>
      <c r="B155" s="533"/>
      <c r="C155" s="530"/>
      <c r="D155" s="531"/>
      <c r="E155" s="535"/>
      <c r="G155" s="376"/>
      <c r="H155" s="457"/>
      <c r="I155" s="382"/>
      <c r="J155" s="386"/>
      <c r="K155" s="520"/>
      <c r="M155" s="376"/>
      <c r="N155" s="458"/>
      <c r="O155" s="382"/>
      <c r="P155" s="386"/>
      <c r="Q155" s="342"/>
    </row>
    <row r="156" spans="1:17" x14ac:dyDescent="0.3">
      <c r="A156" s="890" t="s">
        <v>145</v>
      </c>
      <c r="B156" s="891"/>
      <c r="C156" s="322"/>
      <c r="D156" s="383" t="s">
        <v>199</v>
      </c>
      <c r="E156" s="384"/>
      <c r="G156" s="376"/>
      <c r="H156" s="422"/>
      <c r="I156" s="382"/>
      <c r="J156" s="386"/>
      <c r="K156" s="520"/>
      <c r="M156" s="376"/>
      <c r="N156" s="458"/>
      <c r="O156" s="382"/>
      <c r="P156" s="386"/>
      <c r="Q156" s="342"/>
    </row>
    <row r="157" spans="1:17" x14ac:dyDescent="0.3">
      <c r="A157" s="325" t="s">
        <v>146</v>
      </c>
      <c r="B157" s="326"/>
      <c r="C157" s="327"/>
      <c r="D157" s="378" t="s">
        <v>12</v>
      </c>
      <c r="E157" s="379"/>
      <c r="G157" s="376"/>
      <c r="H157" s="457"/>
      <c r="I157" s="382"/>
      <c r="J157" s="386"/>
      <c r="K157" s="520"/>
      <c r="M157" s="376"/>
      <c r="N157" s="458"/>
      <c r="O157" s="382"/>
      <c r="P157" s="386"/>
      <c r="Q157" s="342"/>
    </row>
    <row r="158" spans="1:17" ht="15" thickBot="1" x14ac:dyDescent="0.35">
      <c r="A158" s="328"/>
      <c r="B158" s="329"/>
      <c r="C158" s="381"/>
      <c r="D158" s="378" t="s">
        <v>200</v>
      </c>
      <c r="E158" s="379"/>
      <c r="G158" s="376"/>
      <c r="H158" s="422"/>
      <c r="I158" s="382"/>
      <c r="J158" s="386"/>
      <c r="K158" s="520"/>
      <c r="M158" s="338"/>
      <c r="N158" s="457"/>
      <c r="O158" s="382"/>
      <c r="P158" s="386"/>
      <c r="Q158" s="342"/>
    </row>
    <row r="159" spans="1:17" ht="15" thickBot="1" x14ac:dyDescent="0.35">
      <c r="A159" s="331" t="s">
        <v>239</v>
      </c>
      <c r="B159" s="514" t="s">
        <v>631</v>
      </c>
      <c r="C159" s="332"/>
      <c r="D159" s="378" t="s">
        <v>201</v>
      </c>
      <c r="E159" s="380"/>
      <c r="G159" s="376"/>
      <c r="H159" s="457"/>
      <c r="I159" s="382"/>
      <c r="J159" s="386"/>
      <c r="K159" s="520"/>
      <c r="M159" s="338"/>
      <c r="N159" s="457"/>
      <c r="O159" s="382"/>
      <c r="P159" s="386"/>
      <c r="Q159" s="342"/>
    </row>
    <row r="160" spans="1:17" ht="27.6" x14ac:dyDescent="0.3">
      <c r="A160" s="333" t="s">
        <v>445</v>
      </c>
      <c r="B160" s="334" t="s">
        <v>202</v>
      </c>
      <c r="C160" s="335" t="s">
        <v>203</v>
      </c>
      <c r="D160" s="336" t="s">
        <v>204</v>
      </c>
      <c r="E160" s="337" t="s">
        <v>205</v>
      </c>
      <c r="G160" s="376"/>
      <c r="H160" s="422"/>
      <c r="I160" s="382"/>
      <c r="J160" s="386"/>
      <c r="K160" s="520"/>
      <c r="M160" s="338"/>
      <c r="N160" s="457"/>
      <c r="O160" s="382"/>
      <c r="P160" s="386"/>
      <c r="Q160" s="342"/>
    </row>
    <row r="161" spans="1:17" x14ac:dyDescent="0.3">
      <c r="A161" s="376"/>
      <c r="B161" s="422"/>
      <c r="C161" s="382"/>
      <c r="D161" s="386"/>
      <c r="E161" s="520">
        <v>0</v>
      </c>
      <c r="G161" s="376"/>
      <c r="H161" s="457"/>
      <c r="I161" s="382"/>
      <c r="J161" s="386"/>
      <c r="K161" s="520"/>
      <c r="M161" s="601"/>
      <c r="N161" s="607"/>
      <c r="O161" s="608"/>
      <c r="P161" s="609"/>
      <c r="Q161" s="605"/>
    </row>
    <row r="162" spans="1:17" x14ac:dyDescent="0.3">
      <c r="A162" s="376"/>
      <c r="B162" s="457"/>
      <c r="C162" s="382"/>
      <c r="D162" s="386"/>
      <c r="E162" s="520">
        <v>0</v>
      </c>
      <c r="G162" s="363"/>
      <c r="H162" s="419"/>
      <c r="I162" s="420"/>
      <c r="J162" s="421"/>
      <c r="K162" s="342"/>
      <c r="M162" s="601"/>
      <c r="N162" s="607"/>
      <c r="O162" s="608"/>
      <c r="P162" s="609"/>
      <c r="Q162" s="605"/>
    </row>
    <row r="163" spans="1:17" ht="15" thickBot="1" x14ac:dyDescent="0.35">
      <c r="A163" s="376"/>
      <c r="B163" s="457"/>
      <c r="C163" s="382"/>
      <c r="D163" s="386"/>
      <c r="E163" s="520">
        <v>0</v>
      </c>
      <c r="G163" s="366"/>
      <c r="H163" s="348"/>
      <c r="I163" s="349"/>
      <c r="J163" s="350"/>
      <c r="K163" s="351"/>
      <c r="M163" s="601"/>
      <c r="N163" s="607"/>
      <c r="O163" s="608"/>
      <c r="P163" s="609"/>
      <c r="Q163" s="605"/>
    </row>
    <row r="164" spans="1:17" ht="15" thickBot="1" x14ac:dyDescent="0.35">
      <c r="A164" s="376"/>
      <c r="B164" s="458"/>
      <c r="C164" s="382"/>
      <c r="D164" s="386"/>
      <c r="E164" s="520">
        <v>0</v>
      </c>
      <c r="G164" s="352"/>
      <c r="H164" s="582"/>
      <c r="I164" s="582" t="s">
        <v>45</v>
      </c>
      <c r="J164" s="582"/>
      <c r="K164" s="385">
        <f>SUM(K148:K163)</f>
        <v>0</v>
      </c>
      <c r="M164" s="601"/>
      <c r="N164" s="607"/>
      <c r="O164" s="608"/>
      <c r="P164" s="609"/>
      <c r="Q164" s="605"/>
    </row>
    <row r="165" spans="1:17" ht="15" thickBot="1" x14ac:dyDescent="0.35">
      <c r="A165" s="376"/>
      <c r="B165" s="457"/>
      <c r="C165" s="382"/>
      <c r="D165" s="386"/>
      <c r="E165" s="520">
        <v>0</v>
      </c>
      <c r="M165" s="352"/>
      <c r="N165" s="739"/>
      <c r="O165" s="892" t="s">
        <v>45</v>
      </c>
      <c r="P165" s="892"/>
      <c r="Q165" s="385">
        <f>SUM(Q147:Q161)</f>
        <v>0</v>
      </c>
    </row>
    <row r="166" spans="1:17" ht="15" thickBot="1" x14ac:dyDescent="0.35">
      <c r="A166" s="376"/>
      <c r="B166" s="457"/>
      <c r="C166" s="382"/>
      <c r="D166" s="386"/>
      <c r="E166" s="520">
        <v>0</v>
      </c>
    </row>
    <row r="167" spans="1:17" x14ac:dyDescent="0.3">
      <c r="A167" s="376"/>
      <c r="B167" s="457"/>
      <c r="C167" s="382"/>
      <c r="D167" s="386"/>
      <c r="E167" s="520">
        <v>0</v>
      </c>
      <c r="G167" s="580" t="s">
        <v>171</v>
      </c>
      <c r="H167" s="581"/>
      <c r="I167" s="322"/>
      <c r="J167" s="383" t="s">
        <v>199</v>
      </c>
      <c r="K167" s="384"/>
      <c r="M167" s="890" t="s">
        <v>452</v>
      </c>
      <c r="N167" s="891"/>
      <c r="O167" s="322"/>
      <c r="P167" s="383" t="s">
        <v>199</v>
      </c>
      <c r="Q167" s="384"/>
    </row>
    <row r="168" spans="1:17" x14ac:dyDescent="0.3">
      <c r="A168" s="376"/>
      <c r="B168" s="457"/>
      <c r="C168" s="382"/>
      <c r="D168" s="386"/>
      <c r="E168" s="520">
        <v>0</v>
      </c>
      <c r="G168" s="325" t="s">
        <v>152</v>
      </c>
      <c r="H168" s="326"/>
      <c r="I168" s="327"/>
      <c r="J168" s="378" t="s">
        <v>12</v>
      </c>
      <c r="K168" s="379"/>
      <c r="M168" s="325" t="s">
        <v>161</v>
      </c>
      <c r="N168" s="326"/>
      <c r="O168" s="327"/>
      <c r="P168" s="378" t="s">
        <v>12</v>
      </c>
      <c r="Q168" s="379"/>
    </row>
    <row r="169" spans="1:17" ht="15" thickBot="1" x14ac:dyDescent="0.35">
      <c r="A169" s="376"/>
      <c r="B169" s="457"/>
      <c r="C169" s="382"/>
      <c r="D169" s="386"/>
      <c r="E169" s="520">
        <v>0</v>
      </c>
      <c r="G169" s="328"/>
      <c r="H169" s="329"/>
      <c r="I169" s="381"/>
      <c r="J169" s="378" t="s">
        <v>200</v>
      </c>
      <c r="K169" s="379"/>
      <c r="M169" s="328"/>
      <c r="N169" s="329"/>
      <c r="O169" s="381"/>
      <c r="P169" s="378" t="s">
        <v>200</v>
      </c>
      <c r="Q169" s="379"/>
    </row>
    <row r="170" spans="1:17" ht="18" thickBot="1" x14ac:dyDescent="0.35">
      <c r="A170" s="376"/>
      <c r="B170" s="457"/>
      <c r="C170" s="382"/>
      <c r="D170" s="386"/>
      <c r="E170" s="520">
        <v>0</v>
      </c>
      <c r="G170" s="358" t="s">
        <v>239</v>
      </c>
      <c r="H170" s="508" t="s">
        <v>525</v>
      </c>
      <c r="I170" s="332"/>
      <c r="J170" s="378" t="s">
        <v>201</v>
      </c>
      <c r="K170" s="380" t="s">
        <v>556</v>
      </c>
      <c r="M170" s="331" t="s">
        <v>239</v>
      </c>
      <c r="N170" s="508" t="s">
        <v>628</v>
      </c>
      <c r="O170" s="332"/>
      <c r="P170" s="378" t="s">
        <v>201</v>
      </c>
      <c r="Q170" s="380"/>
    </row>
    <row r="171" spans="1:17" ht="42" thickBot="1" x14ac:dyDescent="0.35">
      <c r="A171" s="376"/>
      <c r="B171" s="457"/>
      <c r="C171" s="382"/>
      <c r="D171" s="386"/>
      <c r="E171" s="520"/>
      <c r="G171" s="333" t="s">
        <v>445</v>
      </c>
      <c r="H171" s="334" t="s">
        <v>202</v>
      </c>
      <c r="I171" s="335" t="s">
        <v>203</v>
      </c>
      <c r="J171" s="336" t="s">
        <v>204</v>
      </c>
      <c r="K171" s="337" t="s">
        <v>205</v>
      </c>
      <c r="M171" s="333"/>
      <c r="N171" s="511" t="s">
        <v>626</v>
      </c>
      <c r="O171" s="335"/>
      <c r="P171" s="336"/>
      <c r="Q171" s="337"/>
    </row>
    <row r="172" spans="1:17" ht="26.4" x14ac:dyDescent="0.3">
      <c r="A172" s="376"/>
      <c r="B172" s="457"/>
      <c r="C172" s="382"/>
      <c r="D172" s="386"/>
      <c r="E172" s="520"/>
      <c r="G172" s="365"/>
      <c r="H172" s="583"/>
      <c r="I172" s="343"/>
      <c r="J172" s="344"/>
      <c r="K172" s="345"/>
      <c r="M172" s="376"/>
      <c r="N172" s="516" t="s">
        <v>202</v>
      </c>
      <c r="O172" s="517" t="s">
        <v>203</v>
      </c>
      <c r="P172" s="518" t="s">
        <v>204</v>
      </c>
      <c r="Q172" s="342"/>
    </row>
    <row r="173" spans="1:17" x14ac:dyDescent="0.3">
      <c r="A173" s="376"/>
      <c r="B173" s="457"/>
      <c r="C173" s="382"/>
      <c r="D173" s="386"/>
      <c r="E173" s="520"/>
      <c r="G173" s="365"/>
      <c r="H173" s="586"/>
      <c r="I173" s="343"/>
      <c r="J173" s="344"/>
      <c r="K173" s="345"/>
      <c r="M173" s="742"/>
      <c r="N173" s="422"/>
      <c r="O173" s="382"/>
      <c r="P173" s="386"/>
      <c r="Q173" s="769"/>
    </row>
    <row r="174" spans="1:17" x14ac:dyDescent="0.3">
      <c r="A174" s="376"/>
      <c r="B174" s="457"/>
      <c r="C174" s="382"/>
      <c r="D174" s="386"/>
      <c r="E174" s="520"/>
      <c r="G174" s="365"/>
      <c r="H174" s="583"/>
      <c r="I174" s="343"/>
      <c r="J174" s="344"/>
      <c r="K174" s="345"/>
      <c r="M174" s="742"/>
      <c r="N174" s="457"/>
      <c r="O174" s="382"/>
      <c r="P174" s="386"/>
      <c r="Q174" s="769"/>
    </row>
    <row r="175" spans="1:17" x14ac:dyDescent="0.3">
      <c r="A175" s="376"/>
      <c r="B175" s="457"/>
      <c r="C175" s="382"/>
      <c r="D175" s="386"/>
      <c r="E175" s="520"/>
      <c r="G175" s="365"/>
      <c r="H175" s="586"/>
      <c r="I175" s="343"/>
      <c r="J175" s="344"/>
      <c r="K175" s="345"/>
      <c r="M175" s="742"/>
      <c r="N175" s="457"/>
      <c r="O175" s="382"/>
      <c r="P175" s="386"/>
      <c r="Q175" s="769"/>
    </row>
    <row r="176" spans="1:17" x14ac:dyDescent="0.3">
      <c r="A176" s="376"/>
      <c r="B176" s="457"/>
      <c r="C176" s="382"/>
      <c r="D176" s="386"/>
      <c r="E176" s="520"/>
      <c r="G176" s="365"/>
      <c r="H176" s="583"/>
      <c r="I176" s="343"/>
      <c r="J176" s="344"/>
      <c r="K176" s="345"/>
      <c r="M176" s="742"/>
      <c r="N176" s="458"/>
      <c r="O176" s="382"/>
      <c r="P176" s="386"/>
      <c r="Q176" s="769"/>
    </row>
    <row r="177" spans="1:17" ht="15" thickBot="1" x14ac:dyDescent="0.35">
      <c r="A177" s="376"/>
      <c r="B177" s="457"/>
      <c r="C177" s="382"/>
      <c r="D177" s="386"/>
      <c r="E177" s="520"/>
      <c r="G177" s="365"/>
      <c r="H177" s="586"/>
      <c r="I177" s="343"/>
      <c r="J177" s="344"/>
      <c r="K177" s="345"/>
      <c r="M177" s="742"/>
      <c r="N177" s="422"/>
      <c r="O177" s="382"/>
      <c r="P177" s="386"/>
      <c r="Q177" s="769"/>
    </row>
    <row r="178" spans="1:17" ht="15" thickBot="1" x14ac:dyDescent="0.35">
      <c r="A178" s="352"/>
      <c r="B178" s="632"/>
      <c r="C178" s="892" t="s">
        <v>45</v>
      </c>
      <c r="D178" s="892"/>
      <c r="E178" s="385">
        <f>SUM(E161:E177)</f>
        <v>0</v>
      </c>
      <c r="G178" s="365"/>
      <c r="H178" s="583"/>
      <c r="I178" s="343"/>
      <c r="J178" s="344"/>
      <c r="K178" s="345"/>
      <c r="M178" s="742"/>
      <c r="N178" s="422"/>
      <c r="O178" s="382"/>
      <c r="P178" s="386"/>
      <c r="Q178" s="342" t="s">
        <v>556</v>
      </c>
    </row>
    <row r="179" spans="1:17" x14ac:dyDescent="0.3">
      <c r="A179" s="524"/>
      <c r="B179" s="326"/>
      <c r="C179" s="327"/>
      <c r="D179" s="522"/>
      <c r="E179" s="523"/>
      <c r="G179" s="365"/>
      <c r="H179" s="586"/>
      <c r="I179" s="343"/>
      <c r="J179" s="344"/>
      <c r="K179" s="345"/>
      <c r="M179" s="742"/>
      <c r="N179" s="422"/>
      <c r="O179" s="382"/>
      <c r="P179" s="386"/>
      <c r="Q179" s="342"/>
    </row>
    <row r="180" spans="1:17" x14ac:dyDescent="0.3">
      <c r="A180" s="329"/>
      <c r="B180" s="329"/>
      <c r="C180" s="381"/>
      <c r="D180" s="522"/>
      <c r="E180" s="523"/>
      <c r="G180" s="365"/>
      <c r="H180" s="583"/>
      <c r="I180" s="343"/>
      <c r="J180" s="344"/>
      <c r="K180" s="345"/>
      <c r="M180" s="742"/>
      <c r="N180" s="422"/>
      <c r="O180" s="382"/>
      <c r="P180" s="386"/>
      <c r="Q180" s="342"/>
    </row>
    <row r="181" spans="1:17" x14ac:dyDescent="0.3">
      <c r="A181" s="329"/>
      <c r="B181" s="530"/>
      <c r="C181" s="521"/>
      <c r="D181" s="522"/>
      <c r="E181" s="526"/>
      <c r="G181" s="365"/>
      <c r="H181" s="586"/>
      <c r="I181" s="343"/>
      <c r="J181" s="344"/>
      <c r="K181" s="345"/>
      <c r="M181" s="742"/>
      <c r="N181" s="422"/>
      <c r="O181" s="382"/>
      <c r="P181" s="386"/>
      <c r="Q181" s="342"/>
    </row>
    <row r="182" spans="1:17" x14ac:dyDescent="0.3">
      <c r="A182" s="527"/>
      <c r="B182" s="527"/>
      <c r="C182" s="527"/>
      <c r="D182" s="527"/>
      <c r="E182" s="528"/>
      <c r="G182" s="365"/>
      <c r="H182" s="583"/>
      <c r="I182" s="343"/>
      <c r="J182" s="344"/>
      <c r="K182" s="345"/>
      <c r="M182" s="742"/>
      <c r="N182" s="422"/>
      <c r="O182" s="382"/>
      <c r="P182" s="386"/>
      <c r="Q182" s="342"/>
    </row>
    <row r="183" spans="1:17" x14ac:dyDescent="0.3">
      <c r="A183" s="536"/>
      <c r="B183" s="529"/>
      <c r="C183" s="530"/>
      <c r="D183" s="531"/>
      <c r="E183" s="535"/>
      <c r="G183" s="365"/>
      <c r="H183" s="586"/>
      <c r="I183" s="343"/>
      <c r="J183" s="344"/>
      <c r="K183" s="345"/>
      <c r="M183" s="742"/>
      <c r="N183" s="422"/>
      <c r="O183" s="382"/>
      <c r="P183" s="386"/>
      <c r="Q183" s="342"/>
    </row>
    <row r="184" spans="1:17" x14ac:dyDescent="0.3">
      <c r="A184" s="536"/>
      <c r="B184" s="529"/>
      <c r="C184" s="530"/>
      <c r="D184" s="531"/>
      <c r="E184" s="535"/>
      <c r="G184" s="365"/>
      <c r="H184" s="583"/>
      <c r="I184" s="343"/>
      <c r="J184" s="344"/>
      <c r="K184" s="345"/>
      <c r="M184" s="742"/>
      <c r="N184" s="422"/>
      <c r="O184" s="382"/>
      <c r="P184" s="386"/>
      <c r="Q184" s="342"/>
    </row>
    <row r="185" spans="1:17" x14ac:dyDescent="0.3">
      <c r="A185" s="536"/>
      <c r="B185" s="529"/>
      <c r="C185" s="530"/>
      <c r="D185" s="531"/>
      <c r="E185" s="535"/>
      <c r="G185" s="365"/>
      <c r="H185" s="586"/>
      <c r="I185" s="343"/>
      <c r="J185" s="344"/>
      <c r="K185" s="345"/>
      <c r="M185" s="742"/>
      <c r="N185" s="422"/>
      <c r="O185" s="382"/>
      <c r="P185" s="386"/>
      <c r="Q185" s="342"/>
    </row>
    <row r="186" spans="1:17" x14ac:dyDescent="0.3">
      <c r="A186" s="536"/>
      <c r="B186" s="529"/>
      <c r="C186" s="530"/>
      <c r="D186" s="531"/>
      <c r="E186" s="535"/>
      <c r="G186" s="363"/>
      <c r="H186" s="419"/>
      <c r="I186" s="420"/>
      <c r="J186" s="421"/>
      <c r="K186" s="342"/>
      <c r="M186" s="742"/>
      <c r="N186" s="422"/>
      <c r="O186" s="382"/>
      <c r="P186" s="386"/>
      <c r="Q186" s="605"/>
    </row>
    <row r="187" spans="1:17" ht="15" thickBot="1" x14ac:dyDescent="0.35">
      <c r="A187" s="536"/>
      <c r="B187" s="529"/>
      <c r="C187" s="530"/>
      <c r="D187" s="531"/>
      <c r="E187" s="535"/>
      <c r="G187" s="366"/>
      <c r="H187" s="348"/>
      <c r="I187" s="349"/>
      <c r="J187" s="350"/>
      <c r="K187" s="351"/>
      <c r="M187" s="601"/>
      <c r="N187" s="607"/>
      <c r="O187" s="608"/>
      <c r="P187" s="609"/>
      <c r="Q187" s="605"/>
    </row>
    <row r="188" spans="1:17" ht="15" thickBot="1" x14ac:dyDescent="0.35">
      <c r="A188" s="536"/>
      <c r="B188" s="529"/>
      <c r="C188" s="530"/>
      <c r="D188" s="531"/>
      <c r="E188" s="535"/>
      <c r="G188" s="352"/>
      <c r="H188" s="582"/>
      <c r="I188" s="582" t="s">
        <v>45</v>
      </c>
      <c r="J188" s="582"/>
      <c r="K188" s="385">
        <f>SUM(K172:K187)</f>
        <v>0</v>
      </c>
      <c r="M188" s="601"/>
      <c r="N188" s="607"/>
      <c r="O188" s="608"/>
      <c r="P188" s="609"/>
      <c r="Q188" s="605"/>
    </row>
    <row r="189" spans="1:17" ht="28.2" thickBot="1" x14ac:dyDescent="0.35">
      <c r="A189" s="536" t="s">
        <v>537</v>
      </c>
      <c r="B189" s="529"/>
      <c r="C189" s="530"/>
      <c r="D189" s="531"/>
      <c r="E189" s="647">
        <f>E9+E65+E86+K27+K59+K88+K118+K141+Q11+Q28+Q40+Q64+AU10+AU28+BG33+BM16+BG44+BG55+BY16+BG67+E28+E99+E118+E130+E154+E178+K188+K164+Q73+Q85+Q128+Q140+AC116+AC91+AC70+AC23+AI22+AO28+AO40+AO67+AO81+AU79+AU66+AU40+BA28+BA39+BA50+BA61+BG10+BS16+BS33+BS50+BS67+Q165+BS84+BS101+Q190+Q215+Q240+Q252+AI45+AI68+AI91+AI114+AI137+BY33+BY50+BY67+BY84+BM33+BM50+BA72+BA83+BA94+BM67+BM84+CE16+CE33+CE50+CE67+CE84+CE101+AO94</f>
        <v>77224.170000000042</v>
      </c>
      <c r="M189" s="601"/>
      <c r="N189" s="607"/>
      <c r="O189" s="608"/>
      <c r="P189" s="609"/>
      <c r="Q189" s="605"/>
    </row>
    <row r="190" spans="1:17" ht="15" thickBot="1" x14ac:dyDescent="0.35">
      <c r="A190" s="536"/>
      <c r="B190" s="529"/>
      <c r="C190" s="530"/>
      <c r="D190" s="531"/>
      <c r="E190" s="535"/>
      <c r="M190" s="352"/>
      <c r="N190" s="741"/>
      <c r="O190" s="892" t="s">
        <v>45</v>
      </c>
      <c r="P190" s="892"/>
      <c r="Q190" s="385">
        <f>SUM(Q172:Q186)</f>
        <v>0</v>
      </c>
    </row>
    <row r="191" spans="1:17" ht="15" thickBot="1" x14ac:dyDescent="0.35">
      <c r="A191" s="536"/>
      <c r="B191" s="529"/>
      <c r="C191" s="530"/>
      <c r="D191" s="531"/>
      <c r="E191" s="535"/>
    </row>
    <row r="192" spans="1:17" x14ac:dyDescent="0.3">
      <c r="A192" s="536"/>
      <c r="B192" s="529"/>
      <c r="C192" s="530"/>
      <c r="D192" s="531"/>
      <c r="E192" s="535"/>
      <c r="M192" s="890" t="s">
        <v>452</v>
      </c>
      <c r="N192" s="891"/>
      <c r="O192" s="322"/>
      <c r="P192" s="383" t="s">
        <v>199</v>
      </c>
      <c r="Q192" s="384"/>
    </row>
    <row r="193" spans="1:17" x14ac:dyDescent="0.3">
      <c r="A193" s="536"/>
      <c r="B193" s="529"/>
      <c r="C193" s="530"/>
      <c r="D193" s="531"/>
      <c r="E193" s="535"/>
      <c r="M193" s="325" t="s">
        <v>161</v>
      </c>
      <c r="N193" s="326"/>
      <c r="O193" s="327"/>
      <c r="P193" s="378" t="s">
        <v>12</v>
      </c>
      <c r="Q193" s="379"/>
    </row>
    <row r="194" spans="1:17" ht="15" thickBot="1" x14ac:dyDescent="0.35">
      <c r="A194" s="536"/>
      <c r="B194" s="537"/>
      <c r="C194" s="534"/>
      <c r="D194" s="538"/>
      <c r="E194" s="535"/>
      <c r="M194" s="328"/>
      <c r="N194" s="329"/>
      <c r="O194" s="381"/>
      <c r="P194" s="378" t="s">
        <v>200</v>
      </c>
      <c r="Q194" s="379"/>
    </row>
    <row r="195" spans="1:17" ht="18" thickBot="1" x14ac:dyDescent="0.35">
      <c r="A195" s="502"/>
      <c r="B195" s="502"/>
      <c r="C195" s="502"/>
      <c r="D195" s="502"/>
      <c r="E195" s="502"/>
      <c r="M195" s="331" t="s">
        <v>239</v>
      </c>
      <c r="N195" s="508" t="s">
        <v>628</v>
      </c>
      <c r="O195" s="332"/>
      <c r="P195" s="378" t="s">
        <v>201</v>
      </c>
      <c r="Q195" s="380"/>
    </row>
    <row r="196" spans="1:17" ht="15" thickBot="1" x14ac:dyDescent="0.35">
      <c r="A196" s="502"/>
      <c r="B196" s="502"/>
      <c r="C196" s="502"/>
      <c r="D196" s="502"/>
      <c r="E196" s="502"/>
      <c r="M196" s="333"/>
      <c r="N196" s="334"/>
      <c r="O196" s="335"/>
      <c r="P196" s="336"/>
      <c r="Q196" s="337"/>
    </row>
    <row r="197" spans="1:17" ht="26.4" x14ac:dyDescent="0.3">
      <c r="A197" s="502"/>
      <c r="B197" s="502"/>
      <c r="C197" s="502"/>
      <c r="D197" s="502"/>
      <c r="E197" s="502"/>
      <c r="M197" s="376"/>
      <c r="N197" s="516" t="s">
        <v>202</v>
      </c>
      <c r="O197" s="517" t="s">
        <v>203</v>
      </c>
      <c r="P197" s="518" t="s">
        <v>204</v>
      </c>
      <c r="Q197" s="342"/>
    </row>
    <row r="198" spans="1:17" x14ac:dyDescent="0.3">
      <c r="A198" s="502"/>
      <c r="B198" s="502"/>
      <c r="C198" s="502"/>
      <c r="D198" s="502"/>
      <c r="E198" s="502"/>
      <c r="M198" s="742"/>
      <c r="N198" s="422"/>
      <c r="O198" s="382"/>
      <c r="P198" s="386"/>
      <c r="Q198" s="520"/>
    </row>
    <row r="199" spans="1:17" x14ac:dyDescent="0.3">
      <c r="A199" s="502"/>
      <c r="B199" s="502"/>
      <c r="C199" s="502"/>
      <c r="D199" s="502"/>
      <c r="E199" s="502"/>
      <c r="M199" s="742"/>
      <c r="N199" s="422"/>
      <c r="O199" s="382"/>
      <c r="P199" s="386"/>
      <c r="Q199" s="520"/>
    </row>
    <row r="200" spans="1:17" x14ac:dyDescent="0.3">
      <c r="A200" s="502"/>
      <c r="B200" s="502"/>
      <c r="C200" s="502"/>
      <c r="D200" s="502"/>
      <c r="E200" s="502"/>
      <c r="M200" s="742"/>
      <c r="N200" s="422"/>
      <c r="O200" s="382"/>
      <c r="P200" s="386"/>
      <c r="Q200" s="520"/>
    </row>
    <row r="201" spans="1:17" x14ac:dyDescent="0.3">
      <c r="A201" s="502"/>
      <c r="B201" s="502"/>
      <c r="C201" s="502"/>
      <c r="D201" s="502"/>
      <c r="E201" s="502"/>
      <c r="M201" s="742"/>
      <c r="N201" s="422"/>
      <c r="O201" s="382"/>
      <c r="P201" s="386"/>
      <c r="Q201" s="520"/>
    </row>
    <row r="202" spans="1:17" x14ac:dyDescent="0.3">
      <c r="A202" s="502"/>
      <c r="B202" s="502"/>
      <c r="C202" s="502"/>
      <c r="D202" s="502"/>
      <c r="E202" s="502"/>
      <c r="M202" s="742"/>
      <c r="N202" s="422"/>
      <c r="O202" s="382"/>
      <c r="P202" s="386"/>
      <c r="Q202" s="520"/>
    </row>
    <row r="203" spans="1:17" x14ac:dyDescent="0.3">
      <c r="A203" s="502"/>
      <c r="B203" s="502"/>
      <c r="C203" s="502"/>
      <c r="D203" s="502"/>
      <c r="E203" s="502"/>
      <c r="M203" s="742"/>
      <c r="N203" s="422"/>
      <c r="O203" s="382"/>
      <c r="P203" s="386"/>
      <c r="Q203" s="342"/>
    </row>
    <row r="204" spans="1:17" x14ac:dyDescent="0.3">
      <c r="A204" s="502"/>
      <c r="B204" s="502"/>
      <c r="C204" s="502"/>
      <c r="D204" s="502"/>
      <c r="E204" s="502"/>
      <c r="M204" s="742"/>
      <c r="N204" s="422"/>
      <c r="O204" s="382"/>
      <c r="P204" s="386"/>
      <c r="Q204" s="342"/>
    </row>
    <row r="205" spans="1:17" x14ac:dyDescent="0.3">
      <c r="A205" s="502"/>
      <c r="B205" s="502"/>
      <c r="C205" s="502"/>
      <c r="D205" s="502"/>
      <c r="E205" s="502"/>
      <c r="M205" s="742"/>
      <c r="N205" s="422"/>
      <c r="O205" s="382"/>
      <c r="P205" s="386"/>
      <c r="Q205" s="342"/>
    </row>
    <row r="206" spans="1:17" x14ac:dyDescent="0.3">
      <c r="A206" s="502"/>
      <c r="B206" s="502"/>
      <c r="C206" s="502"/>
      <c r="D206" s="502"/>
      <c r="E206" s="502"/>
      <c r="M206" s="742"/>
      <c r="N206" s="422"/>
      <c r="O206" s="382"/>
      <c r="P206" s="386"/>
      <c r="Q206" s="342"/>
    </row>
    <row r="207" spans="1:17" x14ac:dyDescent="0.3">
      <c r="A207" s="502"/>
      <c r="B207" s="502"/>
      <c r="C207" s="502"/>
      <c r="D207" s="502"/>
      <c r="E207" s="502"/>
      <c r="M207" s="742"/>
      <c r="N207" s="422"/>
      <c r="O207" s="382"/>
      <c r="P207" s="386"/>
      <c r="Q207" s="342"/>
    </row>
    <row r="208" spans="1:17" x14ac:dyDescent="0.3">
      <c r="A208" s="502"/>
      <c r="B208" s="502"/>
      <c r="C208" s="502"/>
      <c r="D208" s="502"/>
      <c r="E208" s="502"/>
      <c r="M208" s="742"/>
      <c r="N208" s="422"/>
      <c r="O208" s="382"/>
      <c r="P208" s="386"/>
      <c r="Q208" s="342"/>
    </row>
    <row r="209" spans="1:17" x14ac:dyDescent="0.3">
      <c r="A209" s="502"/>
      <c r="B209" s="502"/>
      <c r="C209" s="502"/>
      <c r="D209" s="502"/>
      <c r="E209" s="502"/>
      <c r="M209" s="742"/>
      <c r="N209" s="422"/>
      <c r="O209" s="382"/>
      <c r="P209" s="386"/>
      <c r="Q209" s="342"/>
    </row>
    <row r="210" spans="1:17" x14ac:dyDescent="0.3">
      <c r="A210" s="502"/>
      <c r="B210" s="502"/>
      <c r="C210" s="502"/>
      <c r="D210" s="502"/>
      <c r="E210" s="502"/>
      <c r="M210" s="742"/>
      <c r="N210" s="422"/>
      <c r="O210" s="382"/>
      <c r="P210" s="386"/>
      <c r="Q210" s="342"/>
    </row>
    <row r="211" spans="1:17" x14ac:dyDescent="0.3">
      <c r="A211" s="502"/>
      <c r="B211" s="502"/>
      <c r="C211" s="502"/>
      <c r="D211" s="502"/>
      <c r="E211" s="502"/>
      <c r="M211" s="742"/>
      <c r="N211" s="422"/>
      <c r="O211" s="382"/>
      <c r="P211" s="386"/>
      <c r="Q211" s="605"/>
    </row>
    <row r="212" spans="1:17" x14ac:dyDescent="0.3">
      <c r="A212" s="502"/>
      <c r="B212" s="502"/>
      <c r="C212" s="502"/>
      <c r="D212" s="502"/>
      <c r="E212" s="502"/>
      <c r="M212" s="601"/>
      <c r="N212" s="607"/>
      <c r="O212" s="608"/>
      <c r="P212" s="609"/>
      <c r="Q212" s="605"/>
    </row>
    <row r="213" spans="1:17" x14ac:dyDescent="0.3">
      <c r="M213" s="601"/>
      <c r="N213" s="607"/>
      <c r="O213" s="608"/>
      <c r="P213" s="609"/>
      <c r="Q213" s="605"/>
    </row>
    <row r="214" spans="1:17" ht="15" thickBot="1" x14ac:dyDescent="0.35">
      <c r="M214" s="601"/>
      <c r="N214" s="607"/>
      <c r="O214" s="608"/>
      <c r="P214" s="609"/>
      <c r="Q214" s="605"/>
    </row>
    <row r="215" spans="1:17" ht="15" thickBot="1" x14ac:dyDescent="0.35">
      <c r="M215" s="352"/>
      <c r="N215" s="741"/>
      <c r="O215" s="892" t="s">
        <v>45</v>
      </c>
      <c r="P215" s="892"/>
      <c r="Q215" s="385">
        <f>SUM(Q197:Q211)</f>
        <v>0</v>
      </c>
    </row>
    <row r="216" spans="1:17" ht="15" thickBot="1" x14ac:dyDescent="0.35"/>
    <row r="217" spans="1:17" x14ac:dyDescent="0.3">
      <c r="M217" s="890" t="s">
        <v>452</v>
      </c>
      <c r="N217" s="891"/>
      <c r="O217" s="322"/>
      <c r="P217" s="383" t="s">
        <v>199</v>
      </c>
      <c r="Q217" s="384"/>
    </row>
    <row r="218" spans="1:17" x14ac:dyDescent="0.3">
      <c r="M218" s="325" t="s">
        <v>161</v>
      </c>
      <c r="N218" s="326"/>
      <c r="O218" s="327"/>
      <c r="P218" s="378" t="s">
        <v>12</v>
      </c>
      <c r="Q218" s="379"/>
    </row>
    <row r="219" spans="1:17" ht="15" thickBot="1" x14ac:dyDescent="0.35">
      <c r="M219" s="328"/>
      <c r="N219" s="329"/>
      <c r="O219" s="381"/>
      <c r="P219" s="378" t="s">
        <v>200</v>
      </c>
      <c r="Q219" s="379"/>
    </row>
    <row r="220" spans="1:17" ht="18" thickBot="1" x14ac:dyDescent="0.35">
      <c r="M220" s="331" t="s">
        <v>239</v>
      </c>
      <c r="N220" s="508" t="s">
        <v>628</v>
      </c>
      <c r="O220" s="332"/>
      <c r="P220" s="378" t="s">
        <v>201</v>
      </c>
      <c r="Q220" s="380"/>
    </row>
    <row r="221" spans="1:17" ht="15" thickBot="1" x14ac:dyDescent="0.35">
      <c r="M221" s="333"/>
      <c r="N221" s="334"/>
      <c r="O221" s="335"/>
      <c r="P221" s="336"/>
      <c r="Q221" s="337"/>
    </row>
    <row r="222" spans="1:17" ht="26.4" x14ac:dyDescent="0.3">
      <c r="M222" s="376"/>
      <c r="N222" s="516" t="s">
        <v>202</v>
      </c>
      <c r="O222" s="517" t="s">
        <v>203</v>
      </c>
      <c r="P222" s="518" t="s">
        <v>204</v>
      </c>
      <c r="Q222" s="342"/>
    </row>
    <row r="223" spans="1:17" x14ac:dyDescent="0.3">
      <c r="M223" s="742"/>
      <c r="N223" s="422"/>
      <c r="O223" s="382"/>
      <c r="P223" s="386"/>
      <c r="Q223" s="769"/>
    </row>
    <row r="224" spans="1:17" x14ac:dyDescent="0.3">
      <c r="M224" s="742"/>
      <c r="N224" s="457"/>
      <c r="O224" s="382"/>
      <c r="P224" s="386"/>
      <c r="Q224" s="769"/>
    </row>
    <row r="225" spans="13:17" x14ac:dyDescent="0.3">
      <c r="M225" s="742"/>
      <c r="N225" s="457"/>
      <c r="O225" s="382"/>
      <c r="P225" s="386"/>
      <c r="Q225" s="769"/>
    </row>
    <row r="226" spans="13:17" x14ac:dyDescent="0.3">
      <c r="M226" s="742"/>
      <c r="N226" s="458"/>
      <c r="O226" s="382"/>
      <c r="P226" s="386"/>
      <c r="Q226" s="769"/>
    </row>
    <row r="227" spans="13:17" x14ac:dyDescent="0.3">
      <c r="M227" s="742"/>
      <c r="N227" s="422"/>
      <c r="O227" s="382"/>
      <c r="P227" s="386"/>
      <c r="Q227" s="520"/>
    </row>
    <row r="228" spans="13:17" x14ac:dyDescent="0.3">
      <c r="M228" s="742"/>
      <c r="N228" s="422"/>
      <c r="O228" s="382"/>
      <c r="P228" s="386"/>
      <c r="Q228" s="342"/>
    </row>
    <row r="229" spans="13:17" x14ac:dyDescent="0.3">
      <c r="M229" s="376"/>
      <c r="N229" s="458"/>
      <c r="O229" s="382"/>
      <c r="P229" s="386"/>
      <c r="Q229" s="342"/>
    </row>
    <row r="230" spans="13:17" x14ac:dyDescent="0.3">
      <c r="M230" s="376"/>
      <c r="N230" s="458"/>
      <c r="O230" s="382"/>
      <c r="P230" s="386"/>
      <c r="Q230" s="342"/>
    </row>
    <row r="231" spans="13:17" x14ac:dyDescent="0.3">
      <c r="M231" s="376"/>
      <c r="N231" s="458"/>
      <c r="O231" s="382"/>
      <c r="P231" s="386"/>
      <c r="Q231" s="342"/>
    </row>
    <row r="232" spans="13:17" x14ac:dyDescent="0.3">
      <c r="M232" s="376"/>
      <c r="N232" s="458"/>
      <c r="O232" s="382"/>
      <c r="P232" s="386"/>
      <c r="Q232" s="342"/>
    </row>
    <row r="233" spans="13:17" x14ac:dyDescent="0.3">
      <c r="M233" s="338"/>
      <c r="N233" s="457"/>
      <c r="O233" s="382"/>
      <c r="P233" s="386"/>
      <c r="Q233" s="342"/>
    </row>
    <row r="234" spans="13:17" x14ac:dyDescent="0.3">
      <c r="M234" s="338"/>
      <c r="N234" s="457"/>
      <c r="O234" s="382"/>
      <c r="P234" s="386"/>
      <c r="Q234" s="342"/>
    </row>
    <row r="235" spans="13:17" x14ac:dyDescent="0.3">
      <c r="M235" s="338"/>
      <c r="N235" s="457"/>
      <c r="O235" s="382"/>
      <c r="P235" s="386"/>
      <c r="Q235" s="342"/>
    </row>
    <row r="236" spans="13:17" x14ac:dyDescent="0.3">
      <c r="M236" s="601"/>
      <c r="N236" s="607"/>
      <c r="O236" s="608"/>
      <c r="P236" s="609"/>
      <c r="Q236" s="605"/>
    </row>
    <row r="237" spans="13:17" x14ac:dyDescent="0.3">
      <c r="M237" s="601"/>
      <c r="N237" s="607"/>
      <c r="O237" s="608"/>
      <c r="P237" s="609"/>
      <c r="Q237" s="605"/>
    </row>
    <row r="238" spans="13:17" x14ac:dyDescent="0.3">
      <c r="M238" s="601"/>
      <c r="N238" s="607"/>
      <c r="O238" s="608"/>
      <c r="P238" s="609"/>
      <c r="Q238" s="605"/>
    </row>
    <row r="239" spans="13:17" ht="15" thickBot="1" x14ac:dyDescent="0.35">
      <c r="M239" s="601"/>
      <c r="N239" s="607"/>
      <c r="O239" s="608"/>
      <c r="P239" s="609"/>
      <c r="Q239" s="605"/>
    </row>
    <row r="240" spans="13:17" ht="15" thickBot="1" x14ac:dyDescent="0.35">
      <c r="M240" s="352"/>
      <c r="N240" s="741"/>
      <c r="O240" s="892" t="s">
        <v>45</v>
      </c>
      <c r="P240" s="892"/>
      <c r="Q240" s="385">
        <f>SUM(Q222:Q235)</f>
        <v>0</v>
      </c>
    </row>
    <row r="241" spans="13:17" ht="15" thickBot="1" x14ac:dyDescent="0.35"/>
    <row r="242" spans="13:17" x14ac:dyDescent="0.3">
      <c r="M242" s="890" t="s">
        <v>452</v>
      </c>
      <c r="N242" s="891"/>
      <c r="O242" s="322"/>
      <c r="P242" s="383" t="s">
        <v>199</v>
      </c>
      <c r="Q242" s="384"/>
    </row>
    <row r="243" spans="13:17" x14ac:dyDescent="0.3">
      <c r="M243" s="325" t="s">
        <v>161</v>
      </c>
      <c r="N243" s="326"/>
      <c r="O243" s="327"/>
      <c r="P243" s="378" t="s">
        <v>12</v>
      </c>
      <c r="Q243" s="379"/>
    </row>
    <row r="244" spans="13:17" ht="15" thickBot="1" x14ac:dyDescent="0.35">
      <c r="M244" s="328"/>
      <c r="N244" s="329"/>
      <c r="O244" s="381"/>
      <c r="P244" s="378" t="s">
        <v>200</v>
      </c>
      <c r="Q244" s="379"/>
    </row>
    <row r="245" spans="13:17" ht="18" thickBot="1" x14ac:dyDescent="0.35">
      <c r="M245" s="331" t="s">
        <v>239</v>
      </c>
      <c r="N245" s="508" t="s">
        <v>628</v>
      </c>
      <c r="O245" s="332"/>
      <c r="P245" s="378" t="s">
        <v>201</v>
      </c>
      <c r="Q245" s="380"/>
    </row>
    <row r="246" spans="13:17" ht="27.6" x14ac:dyDescent="0.3">
      <c r="M246" s="333" t="s">
        <v>445</v>
      </c>
      <c r="N246" s="334" t="s">
        <v>202</v>
      </c>
      <c r="O246" s="335" t="s">
        <v>203</v>
      </c>
      <c r="P246" s="336" t="s">
        <v>204</v>
      </c>
      <c r="Q246" s="337" t="s">
        <v>205</v>
      </c>
    </row>
    <row r="247" spans="13:17" x14ac:dyDescent="0.3">
      <c r="M247" s="376"/>
      <c r="N247" s="422"/>
      <c r="O247" s="382"/>
      <c r="P247" s="386"/>
      <c r="Q247" s="342"/>
    </row>
    <row r="248" spans="13:17" x14ac:dyDescent="0.3">
      <c r="M248" s="376"/>
      <c r="N248" s="457"/>
      <c r="O248" s="382"/>
      <c r="P248" s="386"/>
      <c r="Q248" s="342"/>
    </row>
    <row r="249" spans="13:17" x14ac:dyDescent="0.3">
      <c r="M249" s="338"/>
      <c r="N249" s="457"/>
      <c r="O249" s="382"/>
      <c r="P249" s="386"/>
      <c r="Q249" s="342"/>
    </row>
    <row r="250" spans="13:17" x14ac:dyDescent="0.3">
      <c r="M250" s="338"/>
      <c r="N250" s="458"/>
      <c r="O250" s="382"/>
      <c r="P250" s="386"/>
      <c r="Q250" s="342"/>
    </row>
    <row r="251" spans="13:17" ht="15" thickBot="1" x14ac:dyDescent="0.35">
      <c r="M251" s="338"/>
      <c r="N251" s="457"/>
      <c r="O251" s="382"/>
      <c r="P251" s="386"/>
      <c r="Q251" s="342"/>
    </row>
    <row r="252" spans="13:17" ht="15" thickBot="1" x14ac:dyDescent="0.35">
      <c r="M252" s="352"/>
      <c r="N252" s="741"/>
      <c r="O252" s="741" t="s">
        <v>45</v>
      </c>
      <c r="P252" s="741"/>
      <c r="Q252" s="385">
        <f>SUM(Q247:Q251)</f>
        <v>0</v>
      </c>
    </row>
  </sheetData>
  <mergeCells count="126">
    <mergeCell ref="CA1:CB1"/>
    <mergeCell ref="CA18:CB18"/>
    <mergeCell ref="CA35:CB35"/>
    <mergeCell ref="CA52:CB52"/>
    <mergeCell ref="CA69:CB69"/>
    <mergeCell ref="CA86:CB86"/>
    <mergeCell ref="M41:N41"/>
    <mergeCell ref="AY94:AZ94"/>
    <mergeCell ref="BU69:BV69"/>
    <mergeCell ref="BO69:BP69"/>
    <mergeCell ref="AK30:AL30"/>
    <mergeCell ref="AM40:AN40"/>
    <mergeCell ref="BI69:BJ69"/>
    <mergeCell ref="AS10:AT10"/>
    <mergeCell ref="AW1:AX1"/>
    <mergeCell ref="AQ13:AR13"/>
    <mergeCell ref="AQ1:AR1"/>
    <mergeCell ref="AS28:AT28"/>
    <mergeCell ref="BO86:BP86"/>
    <mergeCell ref="AW30:AX30"/>
    <mergeCell ref="AY39:AZ39"/>
    <mergeCell ref="BO35:BP35"/>
    <mergeCell ref="BC58:BD58"/>
    <mergeCell ref="BE67:BF67"/>
    <mergeCell ref="M242:N242"/>
    <mergeCell ref="AE24:AF24"/>
    <mergeCell ref="AG45:AH45"/>
    <mergeCell ref="AE47:AF47"/>
    <mergeCell ref="AG68:AH68"/>
    <mergeCell ref="AE70:AF70"/>
    <mergeCell ref="AG91:AH91"/>
    <mergeCell ref="AE93:AF93"/>
    <mergeCell ref="AG114:AH114"/>
    <mergeCell ref="AE116:AF116"/>
    <mergeCell ref="AG137:AH137"/>
    <mergeCell ref="O190:P190"/>
    <mergeCell ref="M192:N192"/>
    <mergeCell ref="O215:P215"/>
    <mergeCell ref="M217:N217"/>
    <mergeCell ref="O240:P240"/>
    <mergeCell ref="M30:N30"/>
    <mergeCell ref="AW41:AX41"/>
    <mergeCell ref="AY50:AZ50"/>
    <mergeCell ref="AW52:AX52"/>
    <mergeCell ref="AY61:AZ61"/>
    <mergeCell ref="AW63:AX63"/>
    <mergeCell ref="AY72:AZ72"/>
    <mergeCell ref="AW74:AX74"/>
    <mergeCell ref="AY83:AZ83"/>
    <mergeCell ref="AW85:AX85"/>
    <mergeCell ref="AQ31:AR31"/>
    <mergeCell ref="AS40:AT40"/>
    <mergeCell ref="A11:B11"/>
    <mergeCell ref="A1:B1"/>
    <mergeCell ref="C9:D9"/>
    <mergeCell ref="C28:D28"/>
    <mergeCell ref="A29:B29"/>
    <mergeCell ref="AM28:AN28"/>
    <mergeCell ref="AE1:AF1"/>
    <mergeCell ref="AA23:AB23"/>
    <mergeCell ref="O28:P28"/>
    <mergeCell ref="S1:T1"/>
    <mergeCell ref="AK1:AL1"/>
    <mergeCell ref="AG22:AH22"/>
    <mergeCell ref="Y25:Z25"/>
    <mergeCell ref="Y24:Z24"/>
    <mergeCell ref="G1:H1"/>
    <mergeCell ref="M1:N1"/>
    <mergeCell ref="G29:H29"/>
    <mergeCell ref="Y1:Z1"/>
    <mergeCell ref="M12:N12"/>
    <mergeCell ref="A66:B66"/>
    <mergeCell ref="Y94:Z94"/>
    <mergeCell ref="AS66:AT66"/>
    <mergeCell ref="AQ69:AR69"/>
    <mergeCell ref="AS79:AT79"/>
    <mergeCell ref="O64:P64"/>
    <mergeCell ref="AK43:AL43"/>
    <mergeCell ref="AM67:AN67"/>
    <mergeCell ref="Y74:Z74"/>
    <mergeCell ref="A156:B156"/>
    <mergeCell ref="A132:B132"/>
    <mergeCell ref="M75:N75"/>
    <mergeCell ref="C131:D131"/>
    <mergeCell ref="A102:B102"/>
    <mergeCell ref="C118:D118"/>
    <mergeCell ref="A120:B120"/>
    <mergeCell ref="C130:D130"/>
    <mergeCell ref="C99:D99"/>
    <mergeCell ref="C86:D86"/>
    <mergeCell ref="A87:B87"/>
    <mergeCell ref="A89:B89"/>
    <mergeCell ref="M142:N142"/>
    <mergeCell ref="M130:N130"/>
    <mergeCell ref="C178:D178"/>
    <mergeCell ref="AK70:AL70"/>
    <mergeCell ref="C65:D65"/>
    <mergeCell ref="M87:N87"/>
    <mergeCell ref="AQ43:AR43"/>
    <mergeCell ref="AA91:AB91"/>
    <mergeCell ref="C154:D154"/>
    <mergeCell ref="O165:P165"/>
    <mergeCell ref="AM81:AN81"/>
    <mergeCell ref="AA116:AB116"/>
    <mergeCell ref="M167:N167"/>
    <mergeCell ref="AK83:AL83"/>
    <mergeCell ref="AM94:AN94"/>
    <mergeCell ref="BU1:BV1"/>
    <mergeCell ref="BE44:BF44"/>
    <mergeCell ref="BC46:BD46"/>
    <mergeCell ref="BE55:BF55"/>
    <mergeCell ref="BC35:BD35"/>
    <mergeCell ref="BO1:BP1"/>
    <mergeCell ref="BO18:BP18"/>
    <mergeCell ref="BI1:BJ1"/>
    <mergeCell ref="BE10:BF10"/>
    <mergeCell ref="BE33:BF33"/>
    <mergeCell ref="BU18:BV18"/>
    <mergeCell ref="BU35:BV35"/>
    <mergeCell ref="BU52:BV52"/>
    <mergeCell ref="BO52:BP52"/>
    <mergeCell ref="BC1:BD1"/>
    <mergeCell ref="BC12:BD12"/>
    <mergeCell ref="BI18:BJ18"/>
    <mergeCell ref="BI35:BJ35"/>
    <mergeCell ref="BI52:BJ52"/>
  </mergeCells>
  <pageMargins left="0.45" right="0.45" top="0.25" bottom="0.25" header="0" footer="0"/>
  <pageSetup scale="21" fitToWidth="0" orientation="portrait" r:id="rId1"/>
  <rowBreaks count="2" manualBreakCount="2">
    <brk id="84" max="16383" man="1"/>
    <brk id="90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48"/>
  <sheetViews>
    <sheetView zoomScale="85" zoomScaleNormal="85" workbookViewId="0">
      <selection activeCell="D3" sqref="D3"/>
    </sheetView>
  </sheetViews>
  <sheetFormatPr defaultRowHeight="14.4" x14ac:dyDescent="0.3"/>
  <cols>
    <col min="1" max="1" width="13.44140625" bestFit="1" customWidth="1"/>
    <col min="2" max="2" width="24" bestFit="1" customWidth="1"/>
    <col min="3" max="3" width="13.44140625" customWidth="1"/>
    <col min="4" max="4" width="11.44140625" customWidth="1"/>
    <col min="5" max="6" width="10.5546875" bestFit="1" customWidth="1"/>
    <col min="7" max="7" width="11.44140625" customWidth="1"/>
    <col min="8" max="10" width="11.44140625" hidden="1" customWidth="1"/>
    <col min="11" max="11" width="10.109375" customWidth="1"/>
    <col min="12" max="12" width="59.88671875" customWidth="1"/>
    <col min="13" max="13" width="8.88671875" style="233"/>
    <col min="14" max="14" width="13.44140625" bestFit="1" customWidth="1"/>
    <col min="15" max="15" width="11.6640625" bestFit="1" customWidth="1"/>
    <col min="16" max="17" width="12.5546875" customWidth="1"/>
    <col min="18" max="18" width="18" customWidth="1"/>
    <col min="19" max="23" width="12.44140625" hidden="1" customWidth="1"/>
    <col min="24" max="24" width="12.44140625" style="3" hidden="1" customWidth="1"/>
    <col min="25" max="25" width="10.5546875" hidden="1" customWidth="1"/>
  </cols>
  <sheetData>
    <row r="1" spans="1:25" s="233" customFormat="1" ht="35.25" customHeight="1" x14ac:dyDescent="0.3">
      <c r="A1" s="501"/>
      <c r="B1" s="547"/>
      <c r="C1" s="4"/>
      <c r="D1" s="4"/>
      <c r="E1" s="232"/>
      <c r="F1" s="232"/>
      <c r="G1" s="232"/>
      <c r="H1" s="232"/>
      <c r="I1" s="232"/>
      <c r="J1" s="232"/>
      <c r="K1" s="232"/>
      <c r="L1" s="4"/>
      <c r="X1" s="4"/>
    </row>
    <row r="2" spans="1:25" ht="76.5" customHeight="1" thickBot="1" x14ac:dyDescent="0.35">
      <c r="A2" s="411" t="s">
        <v>214</v>
      </c>
      <c r="B2" s="412" t="s">
        <v>215</v>
      </c>
      <c r="C2" s="411" t="s">
        <v>238</v>
      </c>
      <c r="D2" s="413" t="s">
        <v>713</v>
      </c>
      <c r="E2" s="414" t="s">
        <v>672</v>
      </c>
      <c r="F2" s="414" t="s">
        <v>673</v>
      </c>
      <c r="G2" s="415" t="s">
        <v>674</v>
      </c>
      <c r="H2" s="415" t="s">
        <v>487</v>
      </c>
      <c r="I2" s="414" t="s">
        <v>488</v>
      </c>
      <c r="J2" s="415" t="s">
        <v>489</v>
      </c>
      <c r="K2" s="414" t="s">
        <v>490</v>
      </c>
      <c r="L2" s="413" t="s">
        <v>216</v>
      </c>
      <c r="M2" s="234"/>
      <c r="S2" s="550" t="s">
        <v>492</v>
      </c>
      <c r="T2" s="898" t="s">
        <v>493</v>
      </c>
      <c r="U2" s="898"/>
      <c r="V2" s="898"/>
      <c r="W2" s="551" t="s">
        <v>517</v>
      </c>
      <c r="X2" s="552" t="s">
        <v>518</v>
      </c>
      <c r="Y2" s="553"/>
    </row>
    <row r="3" spans="1:25" x14ac:dyDescent="0.3">
      <c r="A3" s="823" t="s">
        <v>171</v>
      </c>
      <c r="B3" s="824" t="s">
        <v>219</v>
      </c>
      <c r="C3" s="823">
        <v>103822</v>
      </c>
      <c r="D3" s="824">
        <v>162.5</v>
      </c>
      <c r="E3" s="825">
        <v>4495</v>
      </c>
      <c r="F3" s="825">
        <f t="shared" ref="F3:F13" si="0">E3*1.4</f>
        <v>6293</v>
      </c>
      <c r="G3" s="825">
        <f>F3</f>
        <v>6293</v>
      </c>
      <c r="H3" s="825">
        <v>3553</v>
      </c>
      <c r="I3" s="825">
        <f t="shared" ref="I3:I13" si="1">H3*1.4</f>
        <v>4974.2</v>
      </c>
      <c r="J3" s="825">
        <f>I3</f>
        <v>4974.2</v>
      </c>
      <c r="K3" s="825">
        <f>(J3/1.0425)-J3</f>
        <v>-202.78513189448404</v>
      </c>
      <c r="L3" s="243"/>
      <c r="M3" s="238"/>
      <c r="N3" s="239"/>
      <c r="O3" s="239" t="s">
        <v>217</v>
      </c>
      <c r="P3" s="239" t="s">
        <v>218</v>
      </c>
      <c r="Q3" s="265" t="s">
        <v>240</v>
      </c>
      <c r="S3" s="554" t="s">
        <v>494</v>
      </c>
      <c r="T3" s="554" t="s">
        <v>512</v>
      </c>
      <c r="U3" s="554" t="s">
        <v>513</v>
      </c>
      <c r="V3" s="554" t="s">
        <v>514</v>
      </c>
      <c r="W3" s="555" t="s">
        <v>515</v>
      </c>
      <c r="X3" s="556" t="s">
        <v>516</v>
      </c>
      <c r="Y3" s="557"/>
    </row>
    <row r="4" spans="1:25" x14ac:dyDescent="0.3">
      <c r="A4" s="823" t="s">
        <v>171</v>
      </c>
      <c r="B4" s="824" t="s">
        <v>220</v>
      </c>
      <c r="C4" s="823">
        <v>104951</v>
      </c>
      <c r="D4" s="824">
        <v>162.5</v>
      </c>
      <c r="E4" s="825">
        <v>3182</v>
      </c>
      <c r="F4" s="825">
        <f t="shared" si="0"/>
        <v>4454.7999999999993</v>
      </c>
      <c r="G4" s="825">
        <f>F4</f>
        <v>4454.7999999999993</v>
      </c>
      <c r="H4" s="825">
        <v>2214</v>
      </c>
      <c r="I4" s="825">
        <f t="shared" si="1"/>
        <v>3099.6</v>
      </c>
      <c r="J4" s="825">
        <f>I4</f>
        <v>3099.6</v>
      </c>
      <c r="K4" s="825">
        <f>(J4/1.0425)-J4</f>
        <v>-126.36258992805733</v>
      </c>
      <c r="L4" s="243" t="s">
        <v>644</v>
      </c>
      <c r="M4" s="240" t="s">
        <v>164</v>
      </c>
      <c r="N4" s="241" t="s">
        <v>137</v>
      </c>
      <c r="O4" s="242">
        <f t="shared" ref="O4:O15" si="2">SUMIF($A$3:$A$13, M4, $G$3:$G$13)</f>
        <v>0</v>
      </c>
      <c r="P4" s="242">
        <f t="shared" ref="P4:P15" si="3">SUMIF($A$3:$A$13, M4, $K$3:$K$13)</f>
        <v>0</v>
      </c>
      <c r="Q4" s="266">
        <f t="shared" ref="Q4:Q16" si="4">SUM(O4:P4)</f>
        <v>0</v>
      </c>
      <c r="S4" s="294" t="e">
        <f>Q4*#REF!</f>
        <v>#REF!</v>
      </c>
      <c r="T4" s="294" t="e">
        <f>Q4*#REF!</f>
        <v>#REF!</v>
      </c>
      <c r="U4" s="294" t="e">
        <f>Q4*#REF!</f>
        <v>#REF!</v>
      </c>
      <c r="V4" s="294" t="e">
        <f>Q4*#REF!</f>
        <v>#REF!</v>
      </c>
      <c r="W4" s="558" t="e">
        <f>SUM(S4:V4)</f>
        <v>#REF!</v>
      </c>
      <c r="X4" s="559" t="e">
        <f>Q4*#REF!</f>
        <v>#REF!</v>
      </c>
      <c r="Y4" s="560"/>
    </row>
    <row r="5" spans="1:25" x14ac:dyDescent="0.3">
      <c r="A5" s="826" t="s">
        <v>165</v>
      </c>
      <c r="B5" s="827" t="s">
        <v>221</v>
      </c>
      <c r="C5" s="826">
        <v>79055</v>
      </c>
      <c r="D5" s="827">
        <v>162.5</v>
      </c>
      <c r="E5" s="828">
        <v>3599</v>
      </c>
      <c r="F5" s="828">
        <f t="shared" si="0"/>
        <v>5038.5999999999995</v>
      </c>
      <c r="G5" s="828">
        <f>F5</f>
        <v>5038.5999999999995</v>
      </c>
      <c r="H5" s="828">
        <v>2706</v>
      </c>
      <c r="I5" s="828">
        <f t="shared" si="1"/>
        <v>3788.3999999999996</v>
      </c>
      <c r="J5" s="828">
        <f>I5</f>
        <v>3788.3999999999996</v>
      </c>
      <c r="K5" s="829">
        <f t="shared" ref="K5:K13" si="5">(J5/1.0425)-J5</f>
        <v>-154.44316546762593</v>
      </c>
      <c r="L5" s="243"/>
      <c r="M5" s="240" t="s">
        <v>171</v>
      </c>
      <c r="N5" s="241" t="s">
        <v>152</v>
      </c>
      <c r="O5" s="242">
        <f t="shared" si="2"/>
        <v>10747.8</v>
      </c>
      <c r="P5" s="242">
        <f t="shared" si="3"/>
        <v>-329.14772182254137</v>
      </c>
      <c r="Q5" s="266">
        <f t="shared" si="4"/>
        <v>10418.652278177458</v>
      </c>
      <c r="S5" s="294" t="e">
        <f>Q5*#REF!</f>
        <v>#REF!</v>
      </c>
      <c r="T5" s="294" t="e">
        <f>Q5*#REF!</f>
        <v>#REF!</v>
      </c>
      <c r="U5" s="294" t="e">
        <f>Q5*#REF!</f>
        <v>#REF!</v>
      </c>
      <c r="V5" s="294" t="e">
        <f>Q5*#REF!</f>
        <v>#REF!</v>
      </c>
      <c r="W5" s="561" t="e">
        <f t="shared" ref="W5:W10" si="6">SUM(S5:V5)</f>
        <v>#REF!</v>
      </c>
      <c r="X5" s="562" t="e">
        <f>Q5*#REF!</f>
        <v>#REF!</v>
      </c>
      <c r="Y5" s="560"/>
    </row>
    <row r="6" spans="1:25" x14ac:dyDescent="0.3">
      <c r="A6" s="823" t="s">
        <v>126</v>
      </c>
      <c r="B6" s="824" t="s">
        <v>225</v>
      </c>
      <c r="C6" s="823">
        <v>106847</v>
      </c>
      <c r="D6" s="824">
        <v>162.5</v>
      </c>
      <c r="E6" s="825">
        <v>3182</v>
      </c>
      <c r="F6" s="825">
        <f t="shared" si="0"/>
        <v>4454.7999999999993</v>
      </c>
      <c r="G6" s="825">
        <f t="shared" ref="G6:G13" si="7">F6</f>
        <v>4454.7999999999993</v>
      </c>
      <c r="H6" s="825">
        <v>2438</v>
      </c>
      <c r="I6" s="825">
        <f t="shared" si="1"/>
        <v>3413.2</v>
      </c>
      <c r="J6" s="825">
        <f>I6</f>
        <v>3413.2</v>
      </c>
      <c r="K6" s="861">
        <f t="shared" si="5"/>
        <v>-139.14724220623475</v>
      </c>
      <c r="L6" s="243" t="s">
        <v>637</v>
      </c>
      <c r="M6" s="240" t="s">
        <v>165</v>
      </c>
      <c r="N6" s="241" t="s">
        <v>140</v>
      </c>
      <c r="O6" s="242">
        <f t="shared" si="2"/>
        <v>5038.5999999999995</v>
      </c>
      <c r="P6" s="242">
        <f t="shared" si="3"/>
        <v>-154.44316546762593</v>
      </c>
      <c r="Q6" s="266">
        <f t="shared" si="4"/>
        <v>4884.156834532374</v>
      </c>
      <c r="S6" s="294" t="e">
        <f>Q11*#REF!</f>
        <v>#REF!</v>
      </c>
      <c r="T6" s="294" t="e">
        <f>Q11*#REF!</f>
        <v>#REF!</v>
      </c>
      <c r="U6" s="294" t="e">
        <f>Q11*#REF!</f>
        <v>#REF!</v>
      </c>
      <c r="V6" s="294" t="e">
        <f>Q11*#REF!</f>
        <v>#REF!</v>
      </c>
      <c r="W6" s="561" t="e">
        <f t="shared" si="6"/>
        <v>#REF!</v>
      </c>
      <c r="X6" s="562" t="e">
        <f>Q11*#REF!</f>
        <v>#REF!</v>
      </c>
      <c r="Y6" s="560"/>
    </row>
    <row r="7" spans="1:25" x14ac:dyDescent="0.3">
      <c r="A7" s="823" t="s">
        <v>126</v>
      </c>
      <c r="B7" s="824" t="s">
        <v>630</v>
      </c>
      <c r="C7" s="823">
        <v>120062</v>
      </c>
      <c r="D7" s="824">
        <v>162.5</v>
      </c>
      <c r="E7" s="832">
        <v>0</v>
      </c>
      <c r="F7" s="825">
        <f t="shared" si="0"/>
        <v>0</v>
      </c>
      <c r="G7" s="825">
        <f t="shared" si="7"/>
        <v>0</v>
      </c>
      <c r="H7" s="825"/>
      <c r="I7" s="825"/>
      <c r="J7" s="825"/>
      <c r="K7" s="861">
        <f t="shared" si="5"/>
        <v>0</v>
      </c>
      <c r="L7" s="243" t="s">
        <v>676</v>
      </c>
      <c r="M7" s="240" t="s">
        <v>172</v>
      </c>
      <c r="N7" s="241" t="s">
        <v>154</v>
      </c>
      <c r="O7" s="242">
        <f t="shared" si="2"/>
        <v>0</v>
      </c>
      <c r="P7" s="242">
        <f t="shared" si="3"/>
        <v>0</v>
      </c>
      <c r="Q7" s="266">
        <f t="shared" si="4"/>
        <v>0</v>
      </c>
      <c r="S7" s="294"/>
      <c r="T7" s="294"/>
      <c r="U7" s="294"/>
      <c r="V7" s="294"/>
      <c r="W7" s="561"/>
      <c r="X7" s="562"/>
      <c r="Y7" s="560"/>
    </row>
    <row r="8" spans="1:25" x14ac:dyDescent="0.3">
      <c r="A8" s="826" t="s">
        <v>167</v>
      </c>
      <c r="B8" s="827" t="s">
        <v>226</v>
      </c>
      <c r="C8" s="826">
        <v>104640</v>
      </c>
      <c r="D8" s="827">
        <v>162.5</v>
      </c>
      <c r="E8" s="830">
        <v>0</v>
      </c>
      <c r="F8" s="828">
        <f t="shared" si="0"/>
        <v>0</v>
      </c>
      <c r="G8" s="828">
        <f t="shared" si="7"/>
        <v>0</v>
      </c>
      <c r="H8" s="828">
        <v>2021</v>
      </c>
      <c r="I8" s="828">
        <f t="shared" si="1"/>
        <v>2829.3999999999996</v>
      </c>
      <c r="J8" s="828">
        <f t="shared" ref="J8:J13" si="8">I8</f>
        <v>2829.3999999999996</v>
      </c>
      <c r="K8" s="828">
        <v>0</v>
      </c>
      <c r="L8" s="243" t="s">
        <v>686</v>
      </c>
      <c r="M8" s="240" t="s">
        <v>126</v>
      </c>
      <c r="N8" s="241" t="s">
        <v>155</v>
      </c>
      <c r="O8" s="242">
        <f t="shared" si="2"/>
        <v>4454.7999999999993</v>
      </c>
      <c r="P8" s="242">
        <f t="shared" si="3"/>
        <v>-139.14724220623475</v>
      </c>
      <c r="Q8" s="266">
        <f t="shared" si="4"/>
        <v>4315.652757793765</v>
      </c>
      <c r="S8" s="294" t="e">
        <f>Q13*#REF!</f>
        <v>#REF!</v>
      </c>
      <c r="T8" s="294" t="e">
        <f>Q13*#REF!</f>
        <v>#REF!</v>
      </c>
      <c r="U8" s="294" t="e">
        <f>Q13*#REF!</f>
        <v>#REF!</v>
      </c>
      <c r="V8" s="294" t="e">
        <f>Q13*#REF!</f>
        <v>#REF!</v>
      </c>
      <c r="W8" s="561" t="e">
        <f t="shared" si="6"/>
        <v>#REF!</v>
      </c>
      <c r="X8" s="562" t="e">
        <f>Q13*#REF!</f>
        <v>#REF!</v>
      </c>
      <c r="Y8" s="560"/>
    </row>
    <row r="9" spans="1:25" x14ac:dyDescent="0.3">
      <c r="A9" s="826" t="s">
        <v>167</v>
      </c>
      <c r="B9" s="827" t="s">
        <v>227</v>
      </c>
      <c r="C9" s="826">
        <v>104653</v>
      </c>
      <c r="D9" s="827">
        <v>162.5</v>
      </c>
      <c r="E9" s="830">
        <v>3279.84</v>
      </c>
      <c r="F9" s="828">
        <f t="shared" si="0"/>
        <v>4591.7759999999998</v>
      </c>
      <c r="G9" s="828">
        <f t="shared" si="7"/>
        <v>4591.7759999999998</v>
      </c>
      <c r="H9" s="828">
        <v>2021</v>
      </c>
      <c r="I9" s="828">
        <f t="shared" si="1"/>
        <v>2829.3999999999996</v>
      </c>
      <c r="J9" s="828">
        <f t="shared" si="8"/>
        <v>2829.3999999999996</v>
      </c>
      <c r="K9" s="828">
        <f t="shared" si="5"/>
        <v>-115.34724220623502</v>
      </c>
      <c r="L9" s="243"/>
      <c r="M9" s="240" t="s">
        <v>167</v>
      </c>
      <c r="N9" s="241" t="s">
        <v>144</v>
      </c>
      <c r="O9" s="242">
        <f t="shared" si="2"/>
        <v>16145.696</v>
      </c>
      <c r="P9" s="242">
        <f>O9*-0.0425</f>
        <v>-686.19208000000003</v>
      </c>
      <c r="Q9" s="266">
        <f t="shared" si="4"/>
        <v>15459.503919999999</v>
      </c>
      <c r="S9" s="294" t="e">
        <f>Q14*#REF!</f>
        <v>#REF!</v>
      </c>
      <c r="T9" s="294" t="e">
        <f>Q14*#REF!</f>
        <v>#REF!</v>
      </c>
      <c r="U9" s="294" t="e">
        <f>Q14*#REF!</f>
        <v>#REF!</v>
      </c>
      <c r="V9" s="294" t="e">
        <f>Q14*#REF!</f>
        <v>#REF!</v>
      </c>
      <c r="W9" s="558" t="e">
        <f t="shared" si="6"/>
        <v>#REF!</v>
      </c>
      <c r="X9" s="559" t="e">
        <f>Q14*#REF!</f>
        <v>#REF!</v>
      </c>
      <c r="Y9" s="560"/>
    </row>
    <row r="10" spans="1:25" x14ac:dyDescent="0.3">
      <c r="A10" s="826" t="s">
        <v>167</v>
      </c>
      <c r="B10" s="827" t="s">
        <v>228</v>
      </c>
      <c r="C10" s="826">
        <v>104599</v>
      </c>
      <c r="D10" s="827">
        <v>162.5</v>
      </c>
      <c r="E10" s="830">
        <v>3420.66</v>
      </c>
      <c r="F10" s="828">
        <f t="shared" si="0"/>
        <v>4788.9239999999991</v>
      </c>
      <c r="G10" s="828">
        <f t="shared" si="7"/>
        <v>4788.9239999999991</v>
      </c>
      <c r="H10" s="828">
        <v>2214</v>
      </c>
      <c r="I10" s="828">
        <f t="shared" si="1"/>
        <v>3099.6</v>
      </c>
      <c r="J10" s="828">
        <f t="shared" si="8"/>
        <v>3099.6</v>
      </c>
      <c r="K10" s="828">
        <f t="shared" si="5"/>
        <v>-126.36258992805733</v>
      </c>
      <c r="L10" s="243" t="s">
        <v>531</v>
      </c>
      <c r="M10" s="240" t="s">
        <v>173</v>
      </c>
      <c r="N10" s="241" t="s">
        <v>157</v>
      </c>
      <c r="O10" s="242">
        <f t="shared" si="2"/>
        <v>0</v>
      </c>
      <c r="P10" s="242">
        <f t="shared" si="3"/>
        <v>0</v>
      </c>
      <c r="Q10" s="266">
        <f t="shared" si="4"/>
        <v>0</v>
      </c>
      <c r="S10" s="294" t="e">
        <f>Q15*#REF!</f>
        <v>#REF!</v>
      </c>
      <c r="T10" s="294" t="e">
        <f>Q15*#REF!</f>
        <v>#REF!</v>
      </c>
      <c r="U10" s="294" t="e">
        <f>Q15*#REF!</f>
        <v>#REF!</v>
      </c>
      <c r="V10" s="294" t="e">
        <f>Q15*#REF!</f>
        <v>#REF!</v>
      </c>
      <c r="W10" s="561" t="e">
        <f t="shared" si="6"/>
        <v>#REF!</v>
      </c>
      <c r="X10" s="562" t="e">
        <f>Q15*#REF!</f>
        <v>#REF!</v>
      </c>
      <c r="Y10" s="560"/>
    </row>
    <row r="11" spans="1:25" x14ac:dyDescent="0.3">
      <c r="A11" s="826" t="s">
        <v>167</v>
      </c>
      <c r="B11" s="827" t="s">
        <v>229</v>
      </c>
      <c r="C11" s="826">
        <v>104284</v>
      </c>
      <c r="D11" s="827">
        <v>0</v>
      </c>
      <c r="E11" s="830">
        <v>4832.1400000000003</v>
      </c>
      <c r="F11" s="828">
        <f t="shared" si="0"/>
        <v>6764.9960000000001</v>
      </c>
      <c r="G11" s="828">
        <f t="shared" si="7"/>
        <v>6764.9960000000001</v>
      </c>
      <c r="H11" s="828">
        <v>3231</v>
      </c>
      <c r="I11" s="828">
        <f t="shared" si="1"/>
        <v>4523.3999999999996</v>
      </c>
      <c r="J11" s="828">
        <f t="shared" si="8"/>
        <v>4523.3999999999996</v>
      </c>
      <c r="K11" s="828">
        <f t="shared" si="5"/>
        <v>-184.4071942446044</v>
      </c>
      <c r="L11" s="813" t="s">
        <v>556</v>
      </c>
      <c r="M11" s="240" t="s">
        <v>222</v>
      </c>
      <c r="N11" s="241" t="s">
        <v>146</v>
      </c>
      <c r="O11" s="242">
        <f t="shared" si="2"/>
        <v>0</v>
      </c>
      <c r="P11" s="242">
        <f t="shared" si="3"/>
        <v>0</v>
      </c>
      <c r="Q11" s="266">
        <f t="shared" si="4"/>
        <v>0</v>
      </c>
      <c r="S11" s="563" t="e">
        <f t="shared" ref="S11:X11" si="9">SUM(S4:S10)</f>
        <v>#REF!</v>
      </c>
      <c r="T11" s="563" t="e">
        <f t="shared" si="9"/>
        <v>#REF!</v>
      </c>
      <c r="U11" s="563" t="e">
        <f t="shared" si="9"/>
        <v>#REF!</v>
      </c>
      <c r="V11" s="563" t="e">
        <f t="shared" si="9"/>
        <v>#REF!</v>
      </c>
      <c r="W11" s="564" t="e">
        <f t="shared" si="9"/>
        <v>#REF!</v>
      </c>
      <c r="X11" s="565" t="e">
        <f t="shared" si="9"/>
        <v>#REF!</v>
      </c>
      <c r="Y11" s="566"/>
    </row>
    <row r="12" spans="1:25" x14ac:dyDescent="0.3">
      <c r="A12" s="823" t="s">
        <v>169</v>
      </c>
      <c r="B12" s="824" t="s">
        <v>230</v>
      </c>
      <c r="C12" s="823">
        <v>115156</v>
      </c>
      <c r="D12" s="824">
        <v>162.5</v>
      </c>
      <c r="E12" s="825">
        <v>3182</v>
      </c>
      <c r="F12" s="825">
        <f t="shared" si="0"/>
        <v>4454.7999999999993</v>
      </c>
      <c r="G12" s="825">
        <f t="shared" si="7"/>
        <v>4454.7999999999993</v>
      </c>
      <c r="H12" s="825">
        <v>2175</v>
      </c>
      <c r="I12" s="825">
        <f t="shared" si="1"/>
        <v>3045</v>
      </c>
      <c r="J12" s="825">
        <f t="shared" si="8"/>
        <v>3045</v>
      </c>
      <c r="K12" s="825">
        <f t="shared" si="5"/>
        <v>-124.13669064748183</v>
      </c>
      <c r="L12" s="243"/>
      <c r="M12" s="240" t="s">
        <v>223</v>
      </c>
      <c r="N12" s="241" t="s">
        <v>159</v>
      </c>
      <c r="O12" s="242">
        <f t="shared" si="2"/>
        <v>0</v>
      </c>
      <c r="P12" s="242">
        <f t="shared" si="3"/>
        <v>0</v>
      </c>
      <c r="Q12" s="266">
        <f t="shared" si="4"/>
        <v>0</v>
      </c>
      <c r="S12" s="204"/>
      <c r="T12" s="204"/>
      <c r="U12" s="204"/>
      <c r="V12" s="204"/>
      <c r="W12" s="204"/>
      <c r="X12" s="3" t="s">
        <v>519</v>
      </c>
    </row>
    <row r="13" spans="1:25" x14ac:dyDescent="0.3">
      <c r="A13" s="826" t="s">
        <v>224</v>
      </c>
      <c r="B13" s="827" t="s">
        <v>231</v>
      </c>
      <c r="C13" s="826">
        <v>101830</v>
      </c>
      <c r="D13" s="827">
        <v>162.5</v>
      </c>
      <c r="E13" s="828">
        <v>3182</v>
      </c>
      <c r="F13" s="828">
        <f t="shared" si="0"/>
        <v>4454.7999999999993</v>
      </c>
      <c r="G13" s="828">
        <f t="shared" si="7"/>
        <v>4454.7999999999993</v>
      </c>
      <c r="H13" s="828">
        <v>2213</v>
      </c>
      <c r="I13" s="828">
        <f t="shared" si="1"/>
        <v>3098.2</v>
      </c>
      <c r="J13" s="828">
        <f t="shared" si="8"/>
        <v>3098.2</v>
      </c>
      <c r="K13" s="828">
        <f t="shared" si="5"/>
        <v>-126.30551558752995</v>
      </c>
      <c r="L13" s="243"/>
      <c r="M13" s="240" t="s">
        <v>169</v>
      </c>
      <c r="N13" s="241" t="s">
        <v>148</v>
      </c>
      <c r="O13" s="242">
        <f t="shared" si="2"/>
        <v>4454.7999999999993</v>
      </c>
      <c r="P13" s="242">
        <f t="shared" si="3"/>
        <v>-124.13669064748183</v>
      </c>
      <c r="Q13" s="266">
        <f t="shared" si="4"/>
        <v>4330.6633093525179</v>
      </c>
      <c r="S13" s="204"/>
      <c r="T13" s="204"/>
      <c r="U13" s="204"/>
      <c r="V13" s="204"/>
      <c r="W13" s="204"/>
    </row>
    <row r="14" spans="1:25" ht="15" thickBot="1" x14ac:dyDescent="0.35">
      <c r="A14" s="3"/>
      <c r="B14" s="4"/>
      <c r="C14" s="3"/>
      <c r="D14" s="4"/>
      <c r="E14" s="249">
        <f t="shared" ref="E14:K14" si="10">SUM(E3:E13)</f>
        <v>32354.639999999999</v>
      </c>
      <c r="F14" s="249">
        <f t="shared" si="10"/>
        <v>45296.495999999999</v>
      </c>
      <c r="G14" s="495">
        <f t="shared" si="10"/>
        <v>45296.495999999999</v>
      </c>
      <c r="H14" s="495">
        <f t="shared" si="10"/>
        <v>24786</v>
      </c>
      <c r="I14" s="495">
        <f t="shared" si="10"/>
        <v>34700.399999999994</v>
      </c>
      <c r="J14" s="495">
        <f t="shared" si="10"/>
        <v>34700.399999999994</v>
      </c>
      <c r="K14" s="495">
        <f t="shared" si="10"/>
        <v>-1299.2973621103106</v>
      </c>
      <c r="L14" s="3"/>
      <c r="M14" s="240" t="s">
        <v>212</v>
      </c>
      <c r="N14" s="241" t="s">
        <v>161</v>
      </c>
      <c r="O14" s="242">
        <f t="shared" si="2"/>
        <v>0</v>
      </c>
      <c r="P14" s="242">
        <f t="shared" si="3"/>
        <v>0</v>
      </c>
      <c r="Q14" s="266">
        <f t="shared" si="4"/>
        <v>0</v>
      </c>
      <c r="S14" s="567"/>
      <c r="T14" s="567"/>
      <c r="U14" s="567"/>
      <c r="V14" s="567"/>
      <c r="W14" s="567"/>
    </row>
    <row r="15" spans="1:25" ht="15" thickTop="1" x14ac:dyDescent="0.3">
      <c r="M15" s="240" t="s">
        <v>224</v>
      </c>
      <c r="N15" s="241" t="s">
        <v>150</v>
      </c>
      <c r="O15" s="242">
        <f t="shared" si="2"/>
        <v>4454.7999999999993</v>
      </c>
      <c r="P15" s="242">
        <f t="shared" si="3"/>
        <v>-126.30551558752995</v>
      </c>
      <c r="Q15" s="266">
        <f t="shared" si="4"/>
        <v>4328.4944844124693</v>
      </c>
    </row>
    <row r="16" spans="1:25" ht="15" thickBot="1" x14ac:dyDescent="0.35">
      <c r="E16" s="250"/>
      <c r="F16" s="250"/>
      <c r="G16" s="250"/>
      <c r="H16" s="250"/>
      <c r="I16" s="250"/>
      <c r="J16" s="250"/>
      <c r="K16" s="250"/>
      <c r="M16" s="247"/>
      <c r="N16" s="248"/>
      <c r="O16" s="416">
        <f>SUM(O4:O15)</f>
        <v>45296.495999999999</v>
      </c>
      <c r="P16" s="416">
        <f>SUM(P4:P15)</f>
        <v>-1559.3724157314139</v>
      </c>
      <c r="Q16" s="417">
        <f t="shared" si="4"/>
        <v>43737.123584268586</v>
      </c>
      <c r="W16" t="s">
        <v>495</v>
      </c>
    </row>
    <row r="17" spans="1:24" x14ac:dyDescent="0.3">
      <c r="M17" s="294"/>
      <c r="W17" t="s">
        <v>496</v>
      </c>
    </row>
    <row r="18" spans="1:24" x14ac:dyDescent="0.3">
      <c r="M18" s="294"/>
    </row>
    <row r="19" spans="1:24" x14ac:dyDescent="0.3">
      <c r="K19" s="622"/>
      <c r="M19" s="294"/>
    </row>
    <row r="20" spans="1:24" x14ac:dyDescent="0.3">
      <c r="L20" t="s">
        <v>556</v>
      </c>
      <c r="M20" s="294"/>
    </row>
    <row r="21" spans="1:24" x14ac:dyDescent="0.3">
      <c r="M21" s="294"/>
    </row>
    <row r="22" spans="1:24" x14ac:dyDescent="0.3">
      <c r="M22" s="294"/>
    </row>
    <row r="23" spans="1:24" x14ac:dyDescent="0.3">
      <c r="M23" s="294"/>
    </row>
    <row r="24" spans="1:24" x14ac:dyDescent="0.3">
      <c r="M24" s="294"/>
    </row>
    <row r="25" spans="1:24" x14ac:dyDescent="0.3">
      <c r="M25" s="294"/>
    </row>
    <row r="26" spans="1:24" x14ac:dyDescent="0.3">
      <c r="S26" s="233"/>
      <c r="T26" s="233"/>
      <c r="U26" s="233"/>
      <c r="V26" s="233"/>
      <c r="W26" s="233"/>
    </row>
    <row r="27" spans="1:24" s="233" customFormat="1" x14ac:dyDescent="0.3">
      <c r="A27"/>
      <c r="B27"/>
      <c r="C27"/>
      <c r="D27"/>
      <c r="E27"/>
      <c r="F27"/>
      <c r="G27"/>
      <c r="H27"/>
      <c r="I27"/>
      <c r="J27"/>
      <c r="K27"/>
      <c r="L27"/>
      <c r="M27" s="294"/>
      <c r="S27"/>
      <c r="T27"/>
      <c r="U27"/>
      <c r="V27"/>
      <c r="W27"/>
      <c r="X27" s="4"/>
    </row>
    <row r="28" spans="1:24" x14ac:dyDescent="0.3">
      <c r="M28" s="294"/>
    </row>
    <row r="29" spans="1:24" s="3" customFormat="1" x14ac:dyDescent="0.3">
      <c r="A29"/>
      <c r="B29"/>
      <c r="C29"/>
      <c r="D29"/>
      <c r="E29"/>
      <c r="F29"/>
      <c r="G29"/>
      <c r="H29"/>
      <c r="I29"/>
      <c r="J29"/>
      <c r="K29"/>
      <c r="L29"/>
      <c r="M29" s="4"/>
      <c r="S29"/>
      <c r="T29"/>
      <c r="U29"/>
      <c r="V29"/>
      <c r="W29"/>
    </row>
    <row r="48" spans="1:1" x14ac:dyDescent="0.3">
      <c r="A48" t="s">
        <v>682</v>
      </c>
    </row>
  </sheetData>
  <mergeCells count="1">
    <mergeCell ref="T2:V2"/>
  </mergeCells>
  <pageMargins left="0.2" right="0.2" top="0.75" bottom="0.75" header="0.3" footer="0.3"/>
  <pageSetup scale="80" orientation="landscape" r:id="rId1"/>
  <headerFooter>
    <oddFooter>&amp;R&amp;A
&amp;F</oddFooter>
  </headerFooter>
  <colBreaks count="1" manualBreakCount="1">
    <brk id="1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J96"/>
  <sheetViews>
    <sheetView workbookViewId="0">
      <pane xSplit="11" ySplit="22" topLeftCell="CI42" activePane="bottomRight" state="frozen"/>
      <selection pane="topRight" activeCell="L1" sqref="L1"/>
      <selection pane="bottomLeft" activeCell="A23" sqref="A23"/>
      <selection pane="bottomRight" activeCell="CP82" sqref="CP82"/>
    </sheetView>
  </sheetViews>
  <sheetFormatPr defaultColWidth="9.109375" defaultRowHeight="12" x14ac:dyDescent="0.25"/>
  <cols>
    <col min="1" max="1" width="11.44140625" style="295" bestFit="1" customWidth="1"/>
    <col min="2" max="2" width="15.5546875" style="295" bestFit="1" customWidth="1"/>
    <col min="3" max="3" width="8.5546875" style="295" customWidth="1"/>
    <col min="4" max="4" width="11" style="295" bestFit="1" customWidth="1"/>
    <col min="5" max="5" width="12.44140625" style="295" bestFit="1" customWidth="1"/>
    <col min="6" max="6" width="10" style="295" bestFit="1" customWidth="1"/>
    <col min="7" max="7" width="13.5546875" style="295" customWidth="1"/>
    <col min="8" max="8" width="12.109375" style="295" bestFit="1" customWidth="1"/>
    <col min="9" max="9" width="10.5546875" style="295" bestFit="1" customWidth="1"/>
    <col min="10" max="10" width="11" style="295" bestFit="1" customWidth="1"/>
    <col min="11" max="11" width="12.88671875" style="295" customWidth="1"/>
    <col min="12" max="12" width="8.5546875" style="295" customWidth="1"/>
    <col min="13" max="13" width="9.109375" style="295" customWidth="1"/>
    <col min="14" max="14" width="9" style="295" customWidth="1"/>
    <col min="15" max="15" width="8.5546875" style="295" customWidth="1"/>
    <col min="16" max="16" width="8.88671875" style="295" customWidth="1"/>
    <col min="17" max="17" width="9.109375" style="296" customWidth="1"/>
    <col min="18" max="18" width="8.5546875" style="295" customWidth="1"/>
    <col min="19" max="19" width="9.44140625" style="295" customWidth="1"/>
    <col min="20" max="20" width="8.5546875" style="295" customWidth="1"/>
    <col min="21" max="22" width="9.5546875" style="295" customWidth="1"/>
    <col min="23" max="29" width="13" style="295" customWidth="1"/>
    <col min="30" max="89" width="9.109375" style="295"/>
    <col min="90" max="94" width="7.33203125" style="295" customWidth="1"/>
    <col min="95" max="16384" width="9.109375" style="295"/>
  </cols>
  <sheetData>
    <row r="1" spans="1:244" x14ac:dyDescent="0.25">
      <c r="L1" s="899" t="s">
        <v>247</v>
      </c>
      <c r="M1" s="899"/>
      <c r="N1" s="899"/>
      <c r="O1" s="899"/>
      <c r="P1" s="899"/>
      <c r="Q1" s="899"/>
      <c r="R1" s="899"/>
      <c r="S1" s="899"/>
      <c r="T1" s="899"/>
      <c r="U1" s="89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98"/>
      <c r="AK1" s="598"/>
      <c r="AL1" s="633"/>
      <c r="AM1" s="669"/>
      <c r="AN1" s="675"/>
      <c r="AO1" s="677"/>
      <c r="AP1" s="679"/>
      <c r="AQ1" s="682"/>
      <c r="AR1" s="699"/>
      <c r="AS1" s="700"/>
      <c r="AT1" s="702"/>
      <c r="AU1" s="702"/>
      <c r="AV1" s="723"/>
      <c r="AW1" s="732"/>
      <c r="AX1" s="732"/>
      <c r="AY1" s="732"/>
      <c r="AZ1" s="735"/>
      <c r="BA1" s="736"/>
      <c r="BB1" s="738"/>
      <c r="BC1" s="740"/>
      <c r="BD1" s="751"/>
      <c r="BE1" s="753"/>
      <c r="BF1" s="753"/>
      <c r="BG1" s="772"/>
      <c r="BH1" s="776"/>
      <c r="BI1" s="777"/>
      <c r="BJ1" s="785"/>
      <c r="BK1" s="789"/>
      <c r="BL1" s="793"/>
      <c r="BM1" s="794"/>
      <c r="BN1" s="799"/>
      <c r="BO1" s="799"/>
      <c r="BP1" s="803"/>
      <c r="BQ1" s="803"/>
      <c r="BR1" s="807"/>
      <c r="BS1" s="812"/>
      <c r="BT1" s="814"/>
      <c r="BU1" s="817"/>
      <c r="BV1" s="817"/>
      <c r="BW1" s="822"/>
      <c r="BX1" s="831"/>
      <c r="BY1" s="833"/>
      <c r="BZ1" s="842"/>
      <c r="CA1" s="843"/>
      <c r="CB1" s="845"/>
      <c r="CC1" s="846"/>
      <c r="CD1" s="848"/>
      <c r="CE1" s="851"/>
      <c r="CF1" s="852"/>
      <c r="CG1" s="852"/>
      <c r="CH1" s="859"/>
      <c r="CI1" s="860"/>
      <c r="CJ1" s="867"/>
      <c r="CK1" s="868"/>
      <c r="CL1" s="869"/>
      <c r="CM1" s="870"/>
      <c r="CN1" s="872"/>
      <c r="CO1" s="873"/>
      <c r="CP1" s="874"/>
      <c r="CQ1" s="296"/>
    </row>
    <row r="2" spans="1:244" x14ac:dyDescent="0.25">
      <c r="J2" s="297">
        <v>0.22</v>
      </c>
      <c r="L2" s="298">
        <v>31</v>
      </c>
      <c r="M2" s="298">
        <v>30</v>
      </c>
      <c r="N2" s="298">
        <v>31</v>
      </c>
      <c r="O2" s="298">
        <v>31</v>
      </c>
      <c r="P2" s="298">
        <v>28</v>
      </c>
      <c r="Q2" s="298">
        <v>31</v>
      </c>
      <c r="R2" s="298">
        <v>30</v>
      </c>
      <c r="S2" s="298">
        <v>31</v>
      </c>
      <c r="T2" s="298">
        <v>30</v>
      </c>
      <c r="U2" s="568">
        <v>31</v>
      </c>
      <c r="V2" s="568">
        <v>31</v>
      </c>
      <c r="W2" s="568">
        <v>30</v>
      </c>
      <c r="X2" s="568">
        <v>31</v>
      </c>
      <c r="Y2" s="568">
        <v>30</v>
      </c>
      <c r="Z2" s="568">
        <v>31</v>
      </c>
      <c r="AA2" s="568">
        <v>31</v>
      </c>
      <c r="AB2" s="568">
        <v>28</v>
      </c>
      <c r="AC2" s="568">
        <v>31</v>
      </c>
      <c r="AD2" s="568">
        <v>30</v>
      </c>
      <c r="AE2" s="568">
        <v>31</v>
      </c>
      <c r="AF2" s="568">
        <v>30</v>
      </c>
      <c r="AG2" s="568">
        <v>31</v>
      </c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296"/>
    </row>
    <row r="3" spans="1:244" s="572" customFormat="1" ht="24" x14ac:dyDescent="0.3">
      <c r="A3" s="393" t="s">
        <v>248</v>
      </c>
      <c r="B3" s="393" t="s">
        <v>249</v>
      </c>
      <c r="C3" s="393" t="s">
        <v>250</v>
      </c>
      <c r="D3" s="393" t="s">
        <v>251</v>
      </c>
      <c r="E3" s="393" t="s">
        <v>252</v>
      </c>
      <c r="F3" s="569" t="s">
        <v>253</v>
      </c>
      <c r="G3" s="570" t="s">
        <v>254</v>
      </c>
      <c r="H3" s="570" t="s">
        <v>255</v>
      </c>
      <c r="I3" s="569" t="s">
        <v>256</v>
      </c>
      <c r="J3" s="393" t="s">
        <v>257</v>
      </c>
      <c r="K3" s="394" t="s">
        <v>258</v>
      </c>
      <c r="L3" s="393" t="s">
        <v>259</v>
      </c>
      <c r="M3" s="393" t="s">
        <v>260</v>
      </c>
      <c r="N3" s="393" t="s">
        <v>261</v>
      </c>
      <c r="O3" s="393" t="s">
        <v>262</v>
      </c>
      <c r="P3" s="393" t="s">
        <v>263</v>
      </c>
      <c r="Q3" s="393" t="s">
        <v>264</v>
      </c>
      <c r="R3" s="393" t="s">
        <v>265</v>
      </c>
      <c r="S3" s="393" t="s">
        <v>266</v>
      </c>
      <c r="T3" s="393" t="s">
        <v>267</v>
      </c>
      <c r="U3" s="393" t="s">
        <v>430</v>
      </c>
      <c r="V3" s="393" t="s">
        <v>434</v>
      </c>
      <c r="W3" s="393" t="s">
        <v>435</v>
      </c>
      <c r="X3" s="393" t="s">
        <v>259</v>
      </c>
      <c r="Y3" s="393" t="s">
        <v>260</v>
      </c>
      <c r="Z3" s="393" t="s">
        <v>261</v>
      </c>
      <c r="AA3" s="393" t="s">
        <v>262</v>
      </c>
      <c r="AB3" s="393" t="s">
        <v>263</v>
      </c>
      <c r="AC3" s="393" t="s">
        <v>264</v>
      </c>
      <c r="AD3" s="393" t="s">
        <v>265</v>
      </c>
      <c r="AE3" s="393" t="s">
        <v>266</v>
      </c>
      <c r="AF3" s="393" t="s">
        <v>267</v>
      </c>
      <c r="AG3" s="393" t="s">
        <v>497</v>
      </c>
      <c r="AH3" s="393" t="s">
        <v>498</v>
      </c>
      <c r="AI3" s="393" t="s">
        <v>499</v>
      </c>
      <c r="AJ3" s="393" t="s">
        <v>521</v>
      </c>
      <c r="AK3" s="393" t="s">
        <v>533</v>
      </c>
      <c r="AL3" s="393" t="s">
        <v>534</v>
      </c>
      <c r="AM3" s="393" t="s">
        <v>540</v>
      </c>
      <c r="AN3" s="393" t="s">
        <v>543</v>
      </c>
      <c r="AO3" s="393" t="s">
        <v>545</v>
      </c>
      <c r="AP3" s="393" t="s">
        <v>548</v>
      </c>
      <c r="AQ3" s="393" t="s">
        <v>266</v>
      </c>
      <c r="AR3" s="393" t="s">
        <v>551</v>
      </c>
      <c r="AS3" s="393" t="s">
        <v>497</v>
      </c>
      <c r="AT3" s="393" t="s">
        <v>498</v>
      </c>
      <c r="AU3" s="393" t="s">
        <v>499</v>
      </c>
      <c r="AV3" s="393" t="s">
        <v>521</v>
      </c>
      <c r="AW3" s="393" t="s">
        <v>533</v>
      </c>
      <c r="AX3" s="393" t="s">
        <v>534</v>
      </c>
      <c r="AY3" s="393" t="s">
        <v>540</v>
      </c>
      <c r="AZ3" s="393" t="s">
        <v>543</v>
      </c>
      <c r="BA3" s="393" t="s">
        <v>545</v>
      </c>
      <c r="BB3" s="393" t="s">
        <v>548</v>
      </c>
      <c r="BC3" s="393" t="s">
        <v>266</v>
      </c>
      <c r="BD3" s="393" t="s">
        <v>551</v>
      </c>
      <c r="BE3" s="393" t="s">
        <v>497</v>
      </c>
      <c r="BF3" s="393" t="s">
        <v>498</v>
      </c>
      <c r="BG3" s="393" t="s">
        <v>499</v>
      </c>
      <c r="BH3" s="393" t="s">
        <v>521</v>
      </c>
      <c r="BI3" s="393" t="s">
        <v>533</v>
      </c>
      <c r="BJ3" s="393" t="s">
        <v>534</v>
      </c>
      <c r="BK3" s="393" t="s">
        <v>540</v>
      </c>
      <c r="BL3" s="393" t="s">
        <v>543</v>
      </c>
      <c r="BM3" s="393" t="s">
        <v>545</v>
      </c>
      <c r="BN3" s="393" t="s">
        <v>548</v>
      </c>
      <c r="BO3" s="393" t="s">
        <v>266</v>
      </c>
      <c r="BP3" s="393" t="s">
        <v>551</v>
      </c>
      <c r="BQ3" s="393" t="s">
        <v>497</v>
      </c>
      <c r="BR3" s="393" t="s">
        <v>498</v>
      </c>
      <c r="BS3" s="393" t="s">
        <v>499</v>
      </c>
      <c r="BT3" s="393" t="s">
        <v>521</v>
      </c>
      <c r="BU3" s="393" t="s">
        <v>533</v>
      </c>
      <c r="BV3" s="393" t="s">
        <v>534</v>
      </c>
      <c r="BW3" s="393" t="s">
        <v>540</v>
      </c>
      <c r="BX3" s="841" t="s">
        <v>543</v>
      </c>
      <c r="BY3" s="841" t="s">
        <v>545</v>
      </c>
      <c r="BZ3" s="393" t="s">
        <v>548</v>
      </c>
      <c r="CA3" s="393" t="s">
        <v>266</v>
      </c>
      <c r="CB3" s="393" t="s">
        <v>551</v>
      </c>
      <c r="CC3" s="841" t="s">
        <v>497</v>
      </c>
      <c r="CD3" s="841" t="s">
        <v>498</v>
      </c>
      <c r="CE3" s="841" t="s">
        <v>499</v>
      </c>
      <c r="CF3" s="841" t="s">
        <v>521</v>
      </c>
      <c r="CG3" s="841" t="s">
        <v>533</v>
      </c>
      <c r="CH3" s="841" t="s">
        <v>534</v>
      </c>
      <c r="CI3" s="841" t="s">
        <v>540</v>
      </c>
      <c r="CJ3" s="841" t="s">
        <v>543</v>
      </c>
      <c r="CK3" s="841" t="s">
        <v>545</v>
      </c>
      <c r="CL3" s="841" t="s">
        <v>548</v>
      </c>
      <c r="CM3" s="841" t="s">
        <v>266</v>
      </c>
      <c r="CN3" s="841" t="s">
        <v>551</v>
      </c>
      <c r="CO3" s="841" t="s">
        <v>497</v>
      </c>
      <c r="CP3" s="841" t="s">
        <v>498</v>
      </c>
      <c r="CQ3" s="569" t="s">
        <v>268</v>
      </c>
      <c r="CR3" s="393" t="s">
        <v>269</v>
      </c>
      <c r="CS3" s="299"/>
      <c r="CT3" s="299"/>
      <c r="CU3" s="571"/>
      <c r="CV3" s="571"/>
      <c r="CW3" s="571"/>
      <c r="CX3" s="571"/>
      <c r="CY3" s="571"/>
      <c r="CZ3" s="571"/>
      <c r="DA3" s="571"/>
      <c r="DB3" s="571"/>
      <c r="DC3" s="571"/>
      <c r="DD3" s="571"/>
      <c r="DE3" s="571"/>
      <c r="DF3" s="571"/>
      <c r="DG3" s="571"/>
      <c r="DH3" s="571"/>
      <c r="DI3" s="571"/>
      <c r="DJ3" s="571"/>
      <c r="DK3" s="571"/>
      <c r="DL3" s="571"/>
      <c r="DM3" s="571"/>
      <c r="DN3" s="571"/>
      <c r="DO3" s="571"/>
      <c r="DP3" s="571"/>
      <c r="DQ3" s="571"/>
      <c r="DR3" s="571"/>
      <c r="DS3" s="571"/>
      <c r="DT3" s="571"/>
      <c r="DU3" s="571"/>
      <c r="DV3" s="571"/>
      <c r="DW3" s="571"/>
      <c r="DX3" s="571"/>
      <c r="DY3" s="571"/>
      <c r="DZ3" s="571"/>
      <c r="EA3" s="571"/>
      <c r="EB3" s="571"/>
      <c r="EC3" s="571"/>
      <c r="ED3" s="571"/>
      <c r="EE3" s="571"/>
      <c r="EF3" s="571"/>
      <c r="EG3" s="571"/>
      <c r="EH3" s="571"/>
      <c r="EI3" s="571"/>
      <c r="EJ3" s="571"/>
      <c r="EK3" s="571"/>
      <c r="EL3" s="571"/>
      <c r="EM3" s="571"/>
      <c r="EN3" s="571"/>
      <c r="EO3" s="571"/>
      <c r="EP3" s="571"/>
      <c r="EQ3" s="571"/>
      <c r="ER3" s="571"/>
      <c r="ES3" s="571"/>
      <c r="ET3" s="571"/>
      <c r="EU3" s="571"/>
      <c r="EV3" s="571"/>
      <c r="EW3" s="571"/>
      <c r="EX3" s="571"/>
      <c r="EY3" s="571"/>
      <c r="EZ3" s="571"/>
      <c r="FA3" s="571"/>
      <c r="FB3" s="571"/>
      <c r="FC3" s="571"/>
      <c r="FD3" s="571"/>
      <c r="FE3" s="571"/>
      <c r="FF3" s="571"/>
      <c r="FG3" s="571"/>
      <c r="FH3" s="571"/>
      <c r="FI3" s="571"/>
      <c r="FJ3" s="571"/>
      <c r="FK3" s="571"/>
      <c r="FL3" s="571"/>
      <c r="FM3" s="571"/>
      <c r="FN3" s="571"/>
      <c r="FO3" s="571"/>
      <c r="FP3" s="571"/>
      <c r="FQ3" s="571"/>
      <c r="FR3" s="571"/>
      <c r="FS3" s="571"/>
      <c r="FT3" s="571"/>
      <c r="FU3" s="571"/>
      <c r="FV3" s="571"/>
      <c r="FW3" s="571"/>
      <c r="FX3" s="571"/>
      <c r="FY3" s="571"/>
      <c r="FZ3" s="571"/>
      <c r="GA3" s="571"/>
      <c r="GB3" s="571"/>
      <c r="GC3" s="571"/>
      <c r="GD3" s="571"/>
      <c r="GE3" s="571"/>
      <c r="GF3" s="571"/>
      <c r="GG3" s="571"/>
      <c r="GH3" s="571"/>
      <c r="GI3" s="571"/>
      <c r="GJ3" s="571"/>
      <c r="GK3" s="571"/>
      <c r="GL3" s="571"/>
      <c r="GM3" s="571"/>
      <c r="GN3" s="571"/>
      <c r="GO3" s="571"/>
      <c r="GP3" s="571"/>
      <c r="GQ3" s="571"/>
      <c r="GR3" s="571"/>
      <c r="GS3" s="571"/>
      <c r="GT3" s="571"/>
      <c r="GU3" s="571"/>
      <c r="GV3" s="571"/>
      <c r="GW3" s="571"/>
      <c r="GX3" s="571"/>
      <c r="GY3" s="571"/>
      <c r="GZ3" s="571"/>
      <c r="HA3" s="571"/>
      <c r="HB3" s="571"/>
      <c r="HC3" s="571"/>
      <c r="HD3" s="571"/>
      <c r="HE3" s="571"/>
      <c r="HF3" s="571"/>
      <c r="HG3" s="571"/>
      <c r="HH3" s="571"/>
      <c r="HI3" s="571"/>
      <c r="HJ3" s="571"/>
      <c r="HK3" s="571"/>
      <c r="HL3" s="571"/>
      <c r="HM3" s="571"/>
      <c r="HN3" s="571"/>
      <c r="HO3" s="571"/>
      <c r="HP3" s="571"/>
      <c r="HQ3" s="571"/>
      <c r="HR3" s="571"/>
      <c r="HS3" s="571"/>
      <c r="HT3" s="571"/>
      <c r="HU3" s="571"/>
      <c r="HV3" s="571"/>
      <c r="HW3" s="571"/>
      <c r="HX3" s="571"/>
      <c r="HY3" s="571"/>
      <c r="HZ3" s="571"/>
      <c r="IA3" s="571"/>
      <c r="IB3" s="571"/>
      <c r="IC3" s="571"/>
      <c r="ID3" s="571"/>
      <c r="IE3" s="571"/>
      <c r="IF3" s="571"/>
      <c r="IG3" s="571"/>
      <c r="IH3" s="571"/>
      <c r="II3" s="571"/>
      <c r="IJ3" s="571"/>
    </row>
    <row r="4" spans="1:244" x14ac:dyDescent="0.25">
      <c r="A4" s="300" t="s">
        <v>270</v>
      </c>
      <c r="B4" s="300" t="s">
        <v>271</v>
      </c>
      <c r="C4" s="395">
        <v>10563</v>
      </c>
      <c r="D4" s="396">
        <v>1000922</v>
      </c>
      <c r="E4" s="795" t="s">
        <v>272</v>
      </c>
      <c r="F4" s="795" t="s">
        <v>273</v>
      </c>
      <c r="G4" s="301">
        <v>2203</v>
      </c>
      <c r="H4" s="301">
        <f>G4*1.2</f>
        <v>2643.6</v>
      </c>
      <c r="I4" s="302">
        <f t="shared" ref="I4:I68" si="0">H4-(H4/1.0425)</f>
        <v>107.77266187050373</v>
      </c>
      <c r="J4" s="302">
        <f>I4*J$2</f>
        <v>23.70998561151082</v>
      </c>
      <c r="K4" s="302">
        <f>I4+J4</f>
        <v>131.48264748201456</v>
      </c>
      <c r="L4" s="302">
        <f>K4</f>
        <v>131.48264748201456</v>
      </c>
      <c r="M4" s="302">
        <f>K4</f>
        <v>131.48264748201456</v>
      </c>
      <c r="N4" s="302">
        <f>K4</f>
        <v>131.48264748201456</v>
      </c>
      <c r="O4" s="302">
        <f>K4</f>
        <v>131.48264748201456</v>
      </c>
      <c r="P4" s="302">
        <f>K4</f>
        <v>131.48264748201456</v>
      </c>
      <c r="Q4" s="302">
        <f>L4</f>
        <v>131.48264748201456</v>
      </c>
      <c r="R4" s="302">
        <f t="shared" ref="R4:AF5" si="1">M4</f>
        <v>131.48264748201456</v>
      </c>
      <c r="S4" s="302">
        <f t="shared" si="1"/>
        <v>131.48264748201456</v>
      </c>
      <c r="T4" s="302">
        <f t="shared" si="1"/>
        <v>131.48264748201456</v>
      </c>
      <c r="U4" s="302">
        <f t="shared" si="1"/>
        <v>131.48264748201456</v>
      </c>
      <c r="V4" s="302">
        <f t="shared" si="1"/>
        <v>131.48264748201456</v>
      </c>
      <c r="W4" s="302">
        <f t="shared" si="1"/>
        <v>131.48264748201456</v>
      </c>
      <c r="X4" s="302">
        <f t="shared" si="1"/>
        <v>131.48264748201456</v>
      </c>
      <c r="Y4" s="302">
        <f t="shared" si="1"/>
        <v>131.48264748201456</v>
      </c>
      <c r="Z4" s="302">
        <f t="shared" si="1"/>
        <v>131.48264748201456</v>
      </c>
      <c r="AA4" s="302">
        <f t="shared" si="1"/>
        <v>131.48264748201456</v>
      </c>
      <c r="AB4" s="302">
        <f t="shared" si="1"/>
        <v>131.48264748201456</v>
      </c>
      <c r="AC4" s="302">
        <f t="shared" si="1"/>
        <v>131.48264748201456</v>
      </c>
      <c r="AD4" s="302">
        <f t="shared" si="1"/>
        <v>131.48264748201456</v>
      </c>
      <c r="AE4" s="302">
        <f t="shared" si="1"/>
        <v>131.48264748201456</v>
      </c>
      <c r="AF4" s="302">
        <f t="shared" si="1"/>
        <v>131.48264748201456</v>
      </c>
      <c r="AG4" s="302">
        <f t="shared" ref="AG4:AV5" si="2">AE4</f>
        <v>131.48264748201456</v>
      </c>
      <c r="AH4" s="302">
        <f t="shared" si="2"/>
        <v>131.48264748201456</v>
      </c>
      <c r="AI4" s="302">
        <f t="shared" si="2"/>
        <v>131.48264748201456</v>
      </c>
      <c r="AJ4" s="302">
        <f t="shared" si="2"/>
        <v>131.48264748201456</v>
      </c>
      <c r="AK4" s="302">
        <f t="shared" si="2"/>
        <v>131.48264748201456</v>
      </c>
      <c r="AL4" s="302">
        <f t="shared" si="2"/>
        <v>131.48264748201456</v>
      </c>
      <c r="AM4" s="302">
        <f t="shared" si="2"/>
        <v>131.48264748201456</v>
      </c>
      <c r="AN4" s="302">
        <f t="shared" si="2"/>
        <v>131.48264748201456</v>
      </c>
      <c r="AO4" s="302">
        <f t="shared" si="2"/>
        <v>131.48264748201456</v>
      </c>
      <c r="AP4" s="302">
        <f t="shared" si="2"/>
        <v>131.48264748201456</v>
      </c>
      <c r="AQ4" s="302">
        <f t="shared" si="2"/>
        <v>131.48264748201456</v>
      </c>
      <c r="AR4" s="302">
        <f t="shared" si="2"/>
        <v>131.48264748201456</v>
      </c>
      <c r="AS4" s="302">
        <f t="shared" si="2"/>
        <v>131.48264748201456</v>
      </c>
      <c r="AT4" s="302">
        <f t="shared" si="2"/>
        <v>131.48264748201456</v>
      </c>
      <c r="AU4" s="302">
        <f t="shared" si="2"/>
        <v>131.48264748201456</v>
      </c>
      <c r="AV4" s="302">
        <f t="shared" si="2"/>
        <v>131.48264748201456</v>
      </c>
      <c r="AW4" s="302">
        <f t="shared" ref="AW4:CJ5" si="3">AU4</f>
        <v>131.48264748201456</v>
      </c>
      <c r="AX4" s="302">
        <f t="shared" si="3"/>
        <v>131.48264748201456</v>
      </c>
      <c r="AY4" s="302">
        <f t="shared" si="3"/>
        <v>131.48264748201456</v>
      </c>
      <c r="AZ4" s="302">
        <f t="shared" si="3"/>
        <v>131.48264748201456</v>
      </c>
      <c r="BA4" s="302">
        <f t="shared" si="3"/>
        <v>131.48264748201456</v>
      </c>
      <c r="BB4" s="302">
        <f t="shared" si="3"/>
        <v>131.48264748201456</v>
      </c>
      <c r="BC4" s="302">
        <f t="shared" si="3"/>
        <v>131.48264748201456</v>
      </c>
      <c r="BD4" s="302">
        <f t="shared" si="3"/>
        <v>131.48264748201456</v>
      </c>
      <c r="BE4" s="302">
        <f t="shared" si="3"/>
        <v>131.48264748201456</v>
      </c>
      <c r="BF4" s="302">
        <f t="shared" si="3"/>
        <v>131.48264748201456</v>
      </c>
      <c r="BG4" s="302">
        <f t="shared" si="3"/>
        <v>131.48264748201456</v>
      </c>
      <c r="BH4" s="302">
        <f t="shared" si="3"/>
        <v>131.48264748201456</v>
      </c>
      <c r="BI4" s="302">
        <f t="shared" si="3"/>
        <v>131.48264748201456</v>
      </c>
      <c r="BJ4" s="302">
        <f t="shared" si="3"/>
        <v>131.48264748201456</v>
      </c>
      <c r="BK4" s="302">
        <f t="shared" si="3"/>
        <v>131.48264748201456</v>
      </c>
      <c r="BL4" s="302">
        <f t="shared" si="3"/>
        <v>131.48264748201456</v>
      </c>
      <c r="BM4" s="302">
        <f t="shared" si="3"/>
        <v>131.48264748201456</v>
      </c>
      <c r="BN4" s="302">
        <f t="shared" si="3"/>
        <v>131.48264748201456</v>
      </c>
      <c r="BO4" s="302">
        <f t="shared" si="3"/>
        <v>131.48264748201456</v>
      </c>
      <c r="BP4" s="302">
        <f t="shared" si="3"/>
        <v>131.48264748201456</v>
      </c>
      <c r="BQ4" s="302">
        <f t="shared" si="3"/>
        <v>131.48264748201456</v>
      </c>
      <c r="BR4" s="302">
        <f t="shared" si="3"/>
        <v>131.48264748201456</v>
      </c>
      <c r="BS4" s="302">
        <f t="shared" si="3"/>
        <v>131.48264748201456</v>
      </c>
      <c r="BT4" s="302">
        <f t="shared" si="3"/>
        <v>131.48264748201456</v>
      </c>
      <c r="BU4" s="302">
        <f t="shared" si="3"/>
        <v>131.48264748201456</v>
      </c>
      <c r="BV4" s="302">
        <f t="shared" si="3"/>
        <v>131.48264748201456</v>
      </c>
      <c r="BW4" s="302">
        <f t="shared" si="3"/>
        <v>131.48264748201456</v>
      </c>
      <c r="BX4" s="302">
        <f t="shared" si="3"/>
        <v>131.48264748201456</v>
      </c>
      <c r="BY4" s="302">
        <f t="shared" si="3"/>
        <v>131.48264748201456</v>
      </c>
      <c r="BZ4" s="302">
        <f t="shared" si="3"/>
        <v>131.48264748201456</v>
      </c>
      <c r="CA4" s="302">
        <f t="shared" si="3"/>
        <v>131.48264748201456</v>
      </c>
      <c r="CB4" s="302">
        <f t="shared" si="3"/>
        <v>131.48264748201456</v>
      </c>
      <c r="CC4" s="302">
        <f t="shared" si="3"/>
        <v>131.48264748201456</v>
      </c>
      <c r="CD4" s="302">
        <f t="shared" si="3"/>
        <v>131.48264748201456</v>
      </c>
      <c r="CE4" s="302">
        <f t="shared" si="3"/>
        <v>131.48264748201456</v>
      </c>
      <c r="CF4" s="302">
        <f t="shared" si="3"/>
        <v>131.48264748201456</v>
      </c>
      <c r="CG4" s="302">
        <f t="shared" si="3"/>
        <v>131.48264748201456</v>
      </c>
      <c r="CH4" s="302">
        <f t="shared" si="3"/>
        <v>131.48264748201456</v>
      </c>
      <c r="CI4" s="302">
        <f t="shared" si="3"/>
        <v>131.48264748201456</v>
      </c>
      <c r="CJ4" s="302">
        <f t="shared" si="3"/>
        <v>131.48264748201456</v>
      </c>
      <c r="CK4" s="302">
        <v>131.47999999999999</v>
      </c>
      <c r="CL4" s="302">
        <v>131.47999999999999</v>
      </c>
      <c r="CM4" s="302">
        <v>131.47999999999999</v>
      </c>
      <c r="CN4" s="302">
        <v>131.47999999999999</v>
      </c>
      <c r="CO4" s="302">
        <v>131.47999999999999</v>
      </c>
      <c r="CP4" s="302">
        <v>131.47999999999999</v>
      </c>
      <c r="CQ4" s="296"/>
    </row>
    <row r="5" spans="1:244" hidden="1" x14ac:dyDescent="0.25">
      <c r="A5" s="397" t="s">
        <v>270</v>
      </c>
      <c r="B5" s="397" t="s">
        <v>271</v>
      </c>
      <c r="C5" s="397">
        <v>10563</v>
      </c>
      <c r="D5" s="398">
        <v>15575</v>
      </c>
      <c r="E5" s="397" t="s">
        <v>274</v>
      </c>
      <c r="F5" s="397" t="s">
        <v>275</v>
      </c>
      <c r="G5" s="317">
        <v>2092</v>
      </c>
      <c r="H5" s="317">
        <f>G5*1.2</f>
        <v>2510.4</v>
      </c>
      <c r="I5" s="302">
        <f t="shared" si="0"/>
        <v>102.34244604316564</v>
      </c>
      <c r="J5" s="302">
        <f t="shared" ref="J5:J69" si="4">I5*J$2</f>
        <v>22.515338129496442</v>
      </c>
      <c r="K5" s="302">
        <f t="shared" ref="K5:K69" si="5">I5+J5</f>
        <v>124.85778417266208</v>
      </c>
      <c r="L5" s="302">
        <f>K5</f>
        <v>124.85778417266208</v>
      </c>
      <c r="M5" s="302">
        <f>K5</f>
        <v>124.85778417266208</v>
      </c>
      <c r="N5" s="302">
        <f>K5</f>
        <v>124.85778417266208</v>
      </c>
      <c r="O5" s="302">
        <f>K5</f>
        <v>124.85778417266208</v>
      </c>
      <c r="P5" s="302">
        <f>K5</f>
        <v>124.85778417266208</v>
      </c>
      <c r="Q5" s="302">
        <f>L5</f>
        <v>124.85778417266208</v>
      </c>
      <c r="R5" s="302">
        <f t="shared" si="1"/>
        <v>124.85778417266208</v>
      </c>
      <c r="S5" s="302">
        <f t="shared" si="1"/>
        <v>124.85778417266208</v>
      </c>
      <c r="T5" s="302">
        <f t="shared" si="1"/>
        <v>124.85778417266208</v>
      </c>
      <c r="U5" s="302">
        <f t="shared" si="1"/>
        <v>124.85778417266208</v>
      </c>
      <c r="V5" s="302">
        <f t="shared" si="1"/>
        <v>124.85778417266208</v>
      </c>
      <c r="W5" s="302">
        <f t="shared" si="1"/>
        <v>124.85778417266208</v>
      </c>
      <c r="X5" s="302">
        <f t="shared" si="1"/>
        <v>124.85778417266208</v>
      </c>
      <c r="Y5" s="302">
        <f t="shared" si="1"/>
        <v>124.85778417266208</v>
      </c>
      <c r="Z5" s="302">
        <f t="shared" si="1"/>
        <v>124.85778417266208</v>
      </c>
      <c r="AA5" s="302">
        <f t="shared" si="1"/>
        <v>124.85778417266208</v>
      </c>
      <c r="AB5" s="302">
        <f t="shared" si="1"/>
        <v>124.85778417266208</v>
      </c>
      <c r="AC5" s="302">
        <f t="shared" si="1"/>
        <v>124.85778417266208</v>
      </c>
      <c r="AD5" s="302">
        <f t="shared" si="1"/>
        <v>124.85778417266208</v>
      </c>
      <c r="AE5" s="302">
        <f t="shared" si="1"/>
        <v>124.85778417266208</v>
      </c>
      <c r="AF5" s="302">
        <f t="shared" si="1"/>
        <v>124.85778417266208</v>
      </c>
      <c r="AG5" s="302">
        <f t="shared" si="2"/>
        <v>124.85778417266208</v>
      </c>
      <c r="AH5" s="302">
        <f t="shared" si="2"/>
        <v>124.85778417266208</v>
      </c>
      <c r="AI5" s="302">
        <f t="shared" si="2"/>
        <v>124.85778417266208</v>
      </c>
      <c r="AJ5" s="302">
        <f t="shared" si="2"/>
        <v>124.85778417266208</v>
      </c>
      <c r="AK5" s="302">
        <f t="shared" si="2"/>
        <v>124.85778417266208</v>
      </c>
      <c r="AL5" s="302">
        <f t="shared" si="2"/>
        <v>124.85778417266208</v>
      </c>
      <c r="AM5" s="302">
        <f t="shared" si="2"/>
        <v>124.85778417266208</v>
      </c>
      <c r="AN5" s="302">
        <f t="shared" si="2"/>
        <v>124.85778417266208</v>
      </c>
      <c r="AO5" s="302">
        <f t="shared" si="2"/>
        <v>124.85778417266208</v>
      </c>
      <c r="AP5" s="302">
        <f t="shared" si="2"/>
        <v>124.85778417266208</v>
      </c>
      <c r="AQ5" s="302">
        <f t="shared" si="2"/>
        <v>124.85778417266208</v>
      </c>
      <c r="AR5" s="302">
        <f t="shared" si="2"/>
        <v>124.85778417266208</v>
      </c>
      <c r="AS5" s="302">
        <f t="shared" si="2"/>
        <v>124.85778417266208</v>
      </c>
      <c r="AT5" s="302">
        <f t="shared" si="2"/>
        <v>124.85778417266208</v>
      </c>
      <c r="AU5" s="302">
        <f t="shared" si="2"/>
        <v>124.85778417266208</v>
      </c>
      <c r="AV5" s="302">
        <f t="shared" si="2"/>
        <v>124.85778417266208</v>
      </c>
      <c r="AW5" s="302">
        <f t="shared" si="3"/>
        <v>124.85778417266208</v>
      </c>
      <c r="AX5" s="302">
        <f t="shared" si="3"/>
        <v>124.85778417266208</v>
      </c>
      <c r="AY5" s="302">
        <f t="shared" si="3"/>
        <v>124.85778417266208</v>
      </c>
      <c r="AZ5" s="302">
        <f t="shared" si="3"/>
        <v>124.85778417266208</v>
      </c>
      <c r="BA5" s="302">
        <f t="shared" si="3"/>
        <v>124.85778417266208</v>
      </c>
      <c r="BB5" s="302">
        <f t="shared" si="3"/>
        <v>124.85778417266208</v>
      </c>
      <c r="BC5" s="302">
        <f t="shared" si="3"/>
        <v>124.85778417266208</v>
      </c>
      <c r="BD5" s="302">
        <f t="shared" si="3"/>
        <v>124.85778417266208</v>
      </c>
      <c r="BE5" s="302">
        <f t="shared" si="3"/>
        <v>124.85778417266208</v>
      </c>
      <c r="BF5" s="302">
        <f t="shared" si="3"/>
        <v>124.85778417266208</v>
      </c>
      <c r="BG5" s="302">
        <f t="shared" si="3"/>
        <v>124.85778417266208</v>
      </c>
      <c r="BH5" s="302">
        <f t="shared" si="3"/>
        <v>124.85778417266208</v>
      </c>
      <c r="BI5" s="302">
        <f t="shared" si="3"/>
        <v>124.85778417266208</v>
      </c>
      <c r="BJ5" s="302">
        <f t="shared" si="3"/>
        <v>124.85778417266208</v>
      </c>
      <c r="BK5" s="302">
        <f t="shared" si="3"/>
        <v>124.85778417266208</v>
      </c>
      <c r="BL5" s="302">
        <f t="shared" si="3"/>
        <v>124.85778417266208</v>
      </c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296"/>
    </row>
    <row r="6" spans="1:244" hidden="1" x14ac:dyDescent="0.25">
      <c r="A6" s="397" t="s">
        <v>270</v>
      </c>
      <c r="B6" s="397" t="s">
        <v>271</v>
      </c>
      <c r="C6" s="397">
        <v>10563</v>
      </c>
      <c r="D6" s="398">
        <v>1001541</v>
      </c>
      <c r="E6" s="397" t="s">
        <v>276</v>
      </c>
      <c r="F6" s="397" t="s">
        <v>277</v>
      </c>
      <c r="G6" s="317">
        <v>2154</v>
      </c>
      <c r="H6" s="317">
        <f t="shared" ref="H6:H70" si="6">G6*1.2</f>
        <v>2584.7999999999997</v>
      </c>
      <c r="I6" s="302">
        <f t="shared" si="0"/>
        <v>105.37553956834518</v>
      </c>
      <c r="J6" s="302">
        <f t="shared" si="4"/>
        <v>23.182618705035939</v>
      </c>
      <c r="K6" s="302">
        <f t="shared" si="5"/>
        <v>128.55815827338111</v>
      </c>
      <c r="L6" s="302">
        <f>K6</f>
        <v>128.55815827338111</v>
      </c>
      <c r="M6" s="302">
        <f>K6</f>
        <v>128.55815827338111</v>
      </c>
      <c r="N6" s="303">
        <f>($CR6/N$2)*$K6</f>
        <v>95.381859364121468</v>
      </c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4">
        <v>42727</v>
      </c>
      <c r="CR6" s="295">
        <v>23</v>
      </c>
    </row>
    <row r="7" spans="1:244" hidden="1" x14ac:dyDescent="0.25">
      <c r="A7" s="397" t="s">
        <v>270</v>
      </c>
      <c r="B7" s="397" t="s">
        <v>271</v>
      </c>
      <c r="C7" s="397">
        <v>10563</v>
      </c>
      <c r="D7" s="398"/>
      <c r="E7" s="397" t="s">
        <v>278</v>
      </c>
      <c r="F7" s="397" t="s">
        <v>279</v>
      </c>
      <c r="G7" s="399">
        <v>2427</v>
      </c>
      <c r="H7" s="317">
        <f t="shared" si="6"/>
        <v>2912.4</v>
      </c>
      <c r="I7" s="302">
        <f t="shared" si="0"/>
        <v>118.73093525179866</v>
      </c>
      <c r="J7" s="302">
        <f t="shared" si="4"/>
        <v>26.120805755395704</v>
      </c>
      <c r="K7" s="302">
        <f t="shared" si="5"/>
        <v>144.85174100719436</v>
      </c>
      <c r="L7" s="302">
        <f>K7</f>
        <v>144.85174100719436</v>
      </c>
      <c r="M7" s="302">
        <f>K7</f>
        <v>144.85174100719436</v>
      </c>
      <c r="N7" s="303">
        <f>($CR7/N$2)*$K7</f>
        <v>107.47064655372485</v>
      </c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4">
        <v>43092</v>
      </c>
      <c r="CR7" s="295">
        <v>23</v>
      </c>
    </row>
    <row r="8" spans="1:244" hidden="1" x14ac:dyDescent="0.25">
      <c r="A8" s="397" t="s">
        <v>270</v>
      </c>
      <c r="B8" s="397" t="s">
        <v>271</v>
      </c>
      <c r="C8" s="397">
        <v>10563</v>
      </c>
      <c r="D8" s="398"/>
      <c r="E8" s="397" t="s">
        <v>280</v>
      </c>
      <c r="F8" s="397" t="s">
        <v>281</v>
      </c>
      <c r="G8" s="317">
        <v>1689</v>
      </c>
      <c r="H8" s="317">
        <f t="shared" si="6"/>
        <v>2026.8</v>
      </c>
      <c r="I8" s="302">
        <f t="shared" si="0"/>
        <v>82.627338129496366</v>
      </c>
      <c r="J8" s="302">
        <f t="shared" si="4"/>
        <v>18.178014388489199</v>
      </c>
      <c r="K8" s="302">
        <f t="shared" si="5"/>
        <v>100.80535251798557</v>
      </c>
      <c r="L8" s="303">
        <f>($CR8/L$2)*$K8</f>
        <v>78.042853562311407</v>
      </c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4">
        <v>42667</v>
      </c>
      <c r="CR8" s="295">
        <v>24</v>
      </c>
    </row>
    <row r="9" spans="1:244" hidden="1" x14ac:dyDescent="0.25">
      <c r="A9" s="397" t="s">
        <v>270</v>
      </c>
      <c r="B9" s="397" t="s">
        <v>271</v>
      </c>
      <c r="C9" s="397">
        <v>10563</v>
      </c>
      <c r="D9" s="398"/>
      <c r="E9" s="397" t="s">
        <v>282</v>
      </c>
      <c r="F9" s="397" t="s">
        <v>283</v>
      </c>
      <c r="G9" s="317">
        <v>2066</v>
      </c>
      <c r="H9" s="317">
        <f t="shared" si="6"/>
        <v>2479.1999999999998</v>
      </c>
      <c r="I9" s="302">
        <f t="shared" si="0"/>
        <v>101.0705035971223</v>
      </c>
      <c r="J9" s="302">
        <f t="shared" si="4"/>
        <v>22.235510791366906</v>
      </c>
      <c r="K9" s="302">
        <f t="shared" si="5"/>
        <v>123.3060143884892</v>
      </c>
      <c r="L9" s="302">
        <f>K9</f>
        <v>123.3060143884892</v>
      </c>
      <c r="M9" s="303">
        <f>($CR9/M$2)*$K9</f>
        <v>8.220400959232613</v>
      </c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4">
        <v>42676</v>
      </c>
      <c r="CR9" s="295">
        <v>2</v>
      </c>
    </row>
    <row r="10" spans="1:244" hidden="1" x14ac:dyDescent="0.25">
      <c r="A10" s="397" t="s">
        <v>270</v>
      </c>
      <c r="B10" s="397" t="s">
        <v>271</v>
      </c>
      <c r="C10" s="397">
        <v>10563</v>
      </c>
      <c r="D10" s="398"/>
      <c r="E10" s="397" t="s">
        <v>284</v>
      </c>
      <c r="F10" s="397" t="s">
        <v>285</v>
      </c>
      <c r="G10" s="399">
        <v>1620</v>
      </c>
      <c r="H10" s="317">
        <f t="shared" si="6"/>
        <v>1944</v>
      </c>
      <c r="I10" s="302">
        <f t="shared" si="0"/>
        <v>79.251798561150963</v>
      </c>
      <c r="J10" s="302">
        <f t="shared" si="4"/>
        <v>17.435395683453212</v>
      </c>
      <c r="K10" s="302">
        <f t="shared" si="5"/>
        <v>96.687194244604171</v>
      </c>
      <c r="L10" s="302">
        <f>K10</f>
        <v>96.687194244604171</v>
      </c>
      <c r="M10" s="302">
        <f>K10</f>
        <v>96.687194244604171</v>
      </c>
      <c r="N10" s="302">
        <f>K10</f>
        <v>96.687194244604171</v>
      </c>
      <c r="O10" s="303">
        <f>($CR10/O$2)*$K10</f>
        <v>74.854601995822577</v>
      </c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4">
        <v>42759</v>
      </c>
      <c r="CR10" s="295">
        <v>24</v>
      </c>
    </row>
    <row r="11" spans="1:244" x14ac:dyDescent="0.25">
      <c r="A11" s="395" t="s">
        <v>270</v>
      </c>
      <c r="B11" s="395" t="s">
        <v>271</v>
      </c>
      <c r="C11" s="395">
        <v>10563</v>
      </c>
      <c r="D11" s="396">
        <v>1000961</v>
      </c>
      <c r="E11" s="796" t="s">
        <v>286</v>
      </c>
      <c r="F11" s="796" t="s">
        <v>287</v>
      </c>
      <c r="G11" s="301">
        <v>1689</v>
      </c>
      <c r="H11" s="301">
        <f t="shared" si="6"/>
        <v>2026.8</v>
      </c>
      <c r="I11" s="302">
        <f t="shared" si="0"/>
        <v>82.627338129496366</v>
      </c>
      <c r="J11" s="302">
        <f t="shared" si="4"/>
        <v>18.178014388489199</v>
      </c>
      <c r="K11" s="302">
        <f t="shared" si="5"/>
        <v>100.80535251798557</v>
      </c>
      <c r="L11" s="302">
        <f>K11</f>
        <v>100.80535251798557</v>
      </c>
      <c r="M11" s="302">
        <f>K11</f>
        <v>100.80535251798557</v>
      </c>
      <c r="N11" s="302">
        <f>K11</f>
        <v>100.80535251798557</v>
      </c>
      <c r="O11" s="302">
        <f>K11</f>
        <v>100.80535251798557</v>
      </c>
      <c r="P11" s="302">
        <f t="shared" ref="P11:AF12" si="7">K11</f>
        <v>100.80535251798557</v>
      </c>
      <c r="Q11" s="302">
        <f t="shared" si="7"/>
        <v>100.80535251798557</v>
      </c>
      <c r="R11" s="302">
        <f t="shared" si="7"/>
        <v>100.80535251798557</v>
      </c>
      <c r="S11" s="302">
        <f t="shared" si="7"/>
        <v>100.80535251798557</v>
      </c>
      <c r="T11" s="302">
        <f t="shared" si="7"/>
        <v>100.80535251798557</v>
      </c>
      <c r="U11" s="302">
        <f t="shared" si="7"/>
        <v>100.80535251798557</v>
      </c>
      <c r="V11" s="302">
        <f t="shared" si="7"/>
        <v>100.80535251798557</v>
      </c>
      <c r="W11" s="302">
        <f t="shared" si="7"/>
        <v>100.80535251798557</v>
      </c>
      <c r="X11" s="302">
        <f t="shared" si="7"/>
        <v>100.80535251798557</v>
      </c>
      <c r="Y11" s="302">
        <f t="shared" si="7"/>
        <v>100.80535251798557</v>
      </c>
      <c r="Z11" s="302">
        <f t="shared" si="7"/>
        <v>100.80535251798557</v>
      </c>
      <c r="AA11" s="302">
        <f t="shared" si="7"/>
        <v>100.80535251798557</v>
      </c>
      <c r="AB11" s="302">
        <f t="shared" si="7"/>
        <v>100.80535251798557</v>
      </c>
      <c r="AC11" s="302">
        <f t="shared" si="7"/>
        <v>100.80535251798557</v>
      </c>
      <c r="AD11" s="302">
        <f t="shared" si="7"/>
        <v>100.80535251798557</v>
      </c>
      <c r="AE11" s="302">
        <f t="shared" si="7"/>
        <v>100.80535251798557</v>
      </c>
      <c r="AF11" s="302">
        <f t="shared" si="7"/>
        <v>100.80535251798557</v>
      </c>
      <c r="AG11" s="302">
        <f t="shared" ref="AG11:AV12" si="8">AE11</f>
        <v>100.80535251798557</v>
      </c>
      <c r="AH11" s="302">
        <f t="shared" si="8"/>
        <v>100.80535251798557</v>
      </c>
      <c r="AI11" s="302">
        <f t="shared" si="8"/>
        <v>100.80535251798557</v>
      </c>
      <c r="AJ11" s="302">
        <f t="shared" si="8"/>
        <v>100.80535251798557</v>
      </c>
      <c r="AK11" s="302">
        <f t="shared" si="8"/>
        <v>100.80535251798557</v>
      </c>
      <c r="AL11" s="302">
        <f t="shared" si="8"/>
        <v>100.80535251798557</v>
      </c>
      <c r="AM11" s="302">
        <f t="shared" si="8"/>
        <v>100.80535251798557</v>
      </c>
      <c r="AN11" s="302">
        <f t="shared" si="8"/>
        <v>100.80535251798557</v>
      </c>
      <c r="AO11" s="302">
        <f t="shared" si="8"/>
        <v>100.80535251798557</v>
      </c>
      <c r="AP11" s="302">
        <f t="shared" si="8"/>
        <v>100.80535251798557</v>
      </c>
      <c r="AQ11" s="302">
        <f t="shared" si="8"/>
        <v>100.80535251798557</v>
      </c>
      <c r="AR11" s="302">
        <f t="shared" si="8"/>
        <v>100.80535251798557</v>
      </c>
      <c r="AS11" s="302">
        <f t="shared" si="8"/>
        <v>100.80535251798557</v>
      </c>
      <c r="AT11" s="302">
        <f t="shared" si="8"/>
        <v>100.80535251798557</v>
      </c>
      <c r="AU11" s="302">
        <f t="shared" si="8"/>
        <v>100.80535251798557</v>
      </c>
      <c r="AV11" s="302">
        <f t="shared" si="8"/>
        <v>100.80535251798557</v>
      </c>
      <c r="AW11" s="302">
        <f t="shared" ref="AW11:CJ12" si="9">AU11</f>
        <v>100.80535251798557</v>
      </c>
      <c r="AX11" s="302">
        <f t="shared" si="9"/>
        <v>100.80535251798557</v>
      </c>
      <c r="AY11" s="302">
        <f t="shared" si="9"/>
        <v>100.80535251798557</v>
      </c>
      <c r="AZ11" s="302">
        <f t="shared" si="9"/>
        <v>100.80535251798557</v>
      </c>
      <c r="BA11" s="302">
        <f t="shared" si="9"/>
        <v>100.80535251798557</v>
      </c>
      <c r="BB11" s="302">
        <f t="shared" si="9"/>
        <v>100.80535251798557</v>
      </c>
      <c r="BC11" s="302">
        <f t="shared" si="9"/>
        <v>100.80535251798557</v>
      </c>
      <c r="BD11" s="302">
        <f t="shared" si="9"/>
        <v>100.80535251798557</v>
      </c>
      <c r="BE11" s="302">
        <f t="shared" si="9"/>
        <v>100.80535251798557</v>
      </c>
      <c r="BF11" s="302">
        <f t="shared" si="9"/>
        <v>100.80535251798557</v>
      </c>
      <c r="BG11" s="302">
        <f t="shared" si="9"/>
        <v>100.80535251798557</v>
      </c>
      <c r="BH11" s="302">
        <f t="shared" si="9"/>
        <v>100.80535251798557</v>
      </c>
      <c r="BI11" s="302">
        <f t="shared" si="9"/>
        <v>100.80535251798557</v>
      </c>
      <c r="BJ11" s="302">
        <f t="shared" si="9"/>
        <v>100.80535251798557</v>
      </c>
      <c r="BK11" s="302">
        <f t="shared" si="9"/>
        <v>100.80535251798557</v>
      </c>
      <c r="BL11" s="302">
        <f t="shared" si="9"/>
        <v>100.80535251798557</v>
      </c>
      <c r="BM11" s="302">
        <f t="shared" si="9"/>
        <v>100.80535251798557</v>
      </c>
      <c r="BN11" s="302">
        <f t="shared" si="9"/>
        <v>100.80535251798557</v>
      </c>
      <c r="BO11" s="302">
        <f t="shared" si="9"/>
        <v>100.80535251798557</v>
      </c>
      <c r="BP11" s="302">
        <f t="shared" si="9"/>
        <v>100.80535251798557</v>
      </c>
      <c r="BQ11" s="302">
        <f t="shared" si="9"/>
        <v>100.80535251798557</v>
      </c>
      <c r="BR11" s="302">
        <f t="shared" si="9"/>
        <v>100.80535251798557</v>
      </c>
      <c r="BS11" s="302">
        <f t="shared" si="9"/>
        <v>100.80535251798557</v>
      </c>
      <c r="BT11" s="302">
        <f t="shared" si="9"/>
        <v>100.80535251798557</v>
      </c>
      <c r="BU11" s="302">
        <f t="shared" si="9"/>
        <v>100.80535251798557</v>
      </c>
      <c r="BV11" s="302">
        <f t="shared" si="9"/>
        <v>100.80535251798557</v>
      </c>
      <c r="BW11" s="302">
        <f t="shared" si="9"/>
        <v>100.80535251798557</v>
      </c>
      <c r="BX11" s="302">
        <f t="shared" si="9"/>
        <v>100.80535251798557</v>
      </c>
      <c r="BY11" s="302">
        <f t="shared" si="9"/>
        <v>100.80535251798557</v>
      </c>
      <c r="BZ11" s="302">
        <f t="shared" si="9"/>
        <v>100.80535251798557</v>
      </c>
      <c r="CA11" s="302">
        <f t="shared" si="9"/>
        <v>100.80535251798557</v>
      </c>
      <c r="CB11" s="302">
        <f t="shared" si="9"/>
        <v>100.80535251798557</v>
      </c>
      <c r="CC11" s="302">
        <f t="shared" si="9"/>
        <v>100.80535251798557</v>
      </c>
      <c r="CD11" s="302">
        <f t="shared" si="9"/>
        <v>100.80535251798557</v>
      </c>
      <c r="CE11" s="302">
        <f t="shared" si="9"/>
        <v>100.80535251798557</v>
      </c>
      <c r="CF11" s="302">
        <f t="shared" si="9"/>
        <v>100.80535251798557</v>
      </c>
      <c r="CG11" s="302">
        <f t="shared" si="9"/>
        <v>100.80535251798557</v>
      </c>
      <c r="CH11" s="302">
        <f t="shared" si="9"/>
        <v>100.80535251798557</v>
      </c>
      <c r="CI11" s="302">
        <f t="shared" si="9"/>
        <v>100.80535251798557</v>
      </c>
      <c r="CJ11" s="302">
        <f t="shared" si="9"/>
        <v>100.80535251798557</v>
      </c>
      <c r="CK11" s="302">
        <v>100.81</v>
      </c>
      <c r="CL11" s="302">
        <v>100.81</v>
      </c>
      <c r="CM11" s="302">
        <v>100.81</v>
      </c>
      <c r="CN11" s="302">
        <v>100.81</v>
      </c>
      <c r="CO11" s="302">
        <v>100.81</v>
      </c>
      <c r="CP11" s="302">
        <v>100.81</v>
      </c>
      <c r="CQ11" s="296"/>
    </row>
    <row r="12" spans="1:244" ht="12.75" hidden="1" customHeight="1" x14ac:dyDescent="0.25">
      <c r="A12" s="395" t="s">
        <v>270</v>
      </c>
      <c r="B12" s="395" t="s">
        <v>271</v>
      </c>
      <c r="C12" s="395">
        <v>10563</v>
      </c>
      <c r="D12" s="400"/>
      <c r="E12" s="796" t="s">
        <v>288</v>
      </c>
      <c r="F12" s="395" t="s">
        <v>289</v>
      </c>
      <c r="G12" s="401">
        <v>1620</v>
      </c>
      <c r="H12" s="301">
        <f t="shared" si="6"/>
        <v>1944</v>
      </c>
      <c r="I12" s="302">
        <f t="shared" si="0"/>
        <v>79.251798561150963</v>
      </c>
      <c r="J12" s="302">
        <f t="shared" si="4"/>
        <v>17.435395683453212</v>
      </c>
      <c r="K12" s="302">
        <f t="shared" si="5"/>
        <v>96.687194244604171</v>
      </c>
      <c r="L12" s="302">
        <f>K12</f>
        <v>96.687194244604171</v>
      </c>
      <c r="M12" s="302">
        <f>K12</f>
        <v>96.687194244604171</v>
      </c>
      <c r="N12" s="302">
        <f>K12</f>
        <v>96.687194244604171</v>
      </c>
      <c r="O12" s="302">
        <f>K12</f>
        <v>96.687194244604171</v>
      </c>
      <c r="P12" s="302">
        <f t="shared" si="7"/>
        <v>96.687194244604171</v>
      </c>
      <c r="Q12" s="302">
        <f t="shared" si="7"/>
        <v>96.687194244604171</v>
      </c>
      <c r="R12" s="302">
        <f t="shared" si="7"/>
        <v>96.687194244604171</v>
      </c>
      <c r="S12" s="302">
        <f t="shared" si="7"/>
        <v>96.687194244604171</v>
      </c>
      <c r="T12" s="302">
        <f t="shared" si="7"/>
        <v>96.687194244604171</v>
      </c>
      <c r="U12" s="302">
        <f t="shared" si="7"/>
        <v>96.687194244604171</v>
      </c>
      <c r="V12" s="302">
        <f t="shared" si="7"/>
        <v>96.687194244604171</v>
      </c>
      <c r="W12" s="302">
        <f t="shared" si="7"/>
        <v>96.687194244604171</v>
      </c>
      <c r="X12" s="302">
        <f t="shared" si="7"/>
        <v>96.687194244604171</v>
      </c>
      <c r="Y12" s="302">
        <f t="shared" si="7"/>
        <v>96.687194244604171</v>
      </c>
      <c r="Z12" s="302">
        <f t="shared" si="7"/>
        <v>96.687194244604171</v>
      </c>
      <c r="AA12" s="302">
        <f t="shared" si="7"/>
        <v>96.687194244604171</v>
      </c>
      <c r="AB12" s="302">
        <f t="shared" si="7"/>
        <v>96.687194244604171</v>
      </c>
      <c r="AC12" s="302">
        <f t="shared" si="7"/>
        <v>96.687194244604171</v>
      </c>
      <c r="AD12" s="302">
        <f t="shared" si="7"/>
        <v>96.687194244604171</v>
      </c>
      <c r="AE12" s="302">
        <f t="shared" si="7"/>
        <v>96.687194244604171</v>
      </c>
      <c r="AF12" s="302">
        <f t="shared" si="7"/>
        <v>96.687194244604171</v>
      </c>
      <c r="AG12" s="302">
        <f t="shared" si="8"/>
        <v>96.687194244604171</v>
      </c>
      <c r="AH12" s="302">
        <f t="shared" si="8"/>
        <v>96.687194244604171</v>
      </c>
      <c r="AI12" s="302">
        <f t="shared" si="8"/>
        <v>96.687194244604171</v>
      </c>
      <c r="AJ12" s="302">
        <f t="shared" si="8"/>
        <v>96.687194244604171</v>
      </c>
      <c r="AK12" s="302">
        <f t="shared" si="8"/>
        <v>96.687194244604171</v>
      </c>
      <c r="AL12" s="302">
        <f t="shared" si="8"/>
        <v>96.687194244604171</v>
      </c>
      <c r="AM12" s="302">
        <f t="shared" si="8"/>
        <v>96.687194244604171</v>
      </c>
      <c r="AN12" s="302">
        <f t="shared" si="8"/>
        <v>96.687194244604171</v>
      </c>
      <c r="AO12" s="302">
        <f t="shared" si="8"/>
        <v>96.687194244604171</v>
      </c>
      <c r="AP12" s="302">
        <f t="shared" si="8"/>
        <v>96.687194244604171</v>
      </c>
      <c r="AQ12" s="302">
        <f t="shared" si="8"/>
        <v>96.687194244604171</v>
      </c>
      <c r="AR12" s="302">
        <f t="shared" si="8"/>
        <v>96.687194244604171</v>
      </c>
      <c r="AS12" s="302">
        <f t="shared" si="8"/>
        <v>96.687194244604171</v>
      </c>
      <c r="AT12" s="302">
        <f t="shared" si="8"/>
        <v>96.687194244604171</v>
      </c>
      <c r="AU12" s="302">
        <f t="shared" si="8"/>
        <v>96.687194244604171</v>
      </c>
      <c r="AV12" s="302">
        <f t="shared" si="8"/>
        <v>96.687194244604171</v>
      </c>
      <c r="AW12" s="302">
        <f t="shared" si="9"/>
        <v>96.687194244604171</v>
      </c>
      <c r="AX12" s="302">
        <f t="shared" si="9"/>
        <v>96.687194244604171</v>
      </c>
      <c r="AY12" s="302">
        <f t="shared" si="9"/>
        <v>96.687194244604171</v>
      </c>
      <c r="AZ12" s="302">
        <f t="shared" si="9"/>
        <v>96.687194244604171</v>
      </c>
      <c r="BA12" s="302">
        <f t="shared" si="9"/>
        <v>96.687194244604171</v>
      </c>
      <c r="BB12" s="302">
        <f t="shared" si="9"/>
        <v>96.687194244604171</v>
      </c>
      <c r="BC12" s="302">
        <f t="shared" si="9"/>
        <v>96.687194244604171</v>
      </c>
      <c r="BD12" s="302">
        <f t="shared" si="9"/>
        <v>96.687194244604171</v>
      </c>
      <c r="BE12" s="302">
        <f t="shared" si="9"/>
        <v>96.687194244604171</v>
      </c>
      <c r="BF12" s="302">
        <f t="shared" si="9"/>
        <v>96.687194244604171</v>
      </c>
      <c r="BG12" s="302">
        <f t="shared" si="9"/>
        <v>96.687194244604171</v>
      </c>
      <c r="BH12" s="302">
        <f t="shared" si="9"/>
        <v>96.687194244604171</v>
      </c>
      <c r="BI12" s="302">
        <f t="shared" si="9"/>
        <v>96.687194244604171</v>
      </c>
      <c r="BJ12" s="302">
        <f t="shared" si="9"/>
        <v>96.687194244604171</v>
      </c>
      <c r="BK12" s="302">
        <f t="shared" si="9"/>
        <v>96.687194244604171</v>
      </c>
      <c r="BL12" s="302">
        <f t="shared" si="9"/>
        <v>96.687194244604171</v>
      </c>
      <c r="BM12" s="302">
        <f t="shared" si="9"/>
        <v>96.687194244604171</v>
      </c>
      <c r="BN12" s="302">
        <f t="shared" si="9"/>
        <v>96.687194244604171</v>
      </c>
      <c r="BO12" s="302">
        <f t="shared" si="9"/>
        <v>96.687194244604171</v>
      </c>
      <c r="BP12" s="302">
        <f t="shared" si="9"/>
        <v>96.687194244604171</v>
      </c>
      <c r="BQ12" s="302">
        <f t="shared" si="9"/>
        <v>96.687194244604171</v>
      </c>
      <c r="BR12" s="302">
        <f t="shared" si="9"/>
        <v>96.687194244604171</v>
      </c>
      <c r="BS12" s="302">
        <f t="shared" si="9"/>
        <v>96.687194244604171</v>
      </c>
      <c r="BT12" s="302">
        <f t="shared" si="9"/>
        <v>96.687194244604171</v>
      </c>
      <c r="BU12" s="302">
        <f t="shared" si="9"/>
        <v>96.687194244604171</v>
      </c>
      <c r="BV12" s="302">
        <f t="shared" si="9"/>
        <v>96.687194244604171</v>
      </c>
      <c r="BW12" s="302">
        <f t="shared" si="9"/>
        <v>96.687194244604171</v>
      </c>
      <c r="BX12" s="302">
        <f t="shared" si="9"/>
        <v>96.687194244604171</v>
      </c>
      <c r="BY12" s="302">
        <f t="shared" si="9"/>
        <v>96.687194244604171</v>
      </c>
      <c r="BZ12" s="302">
        <f t="shared" si="9"/>
        <v>96.687194244604171</v>
      </c>
      <c r="CA12" s="302">
        <f t="shared" si="9"/>
        <v>96.687194244604171</v>
      </c>
      <c r="CB12" s="302">
        <f t="shared" si="9"/>
        <v>96.687194244604171</v>
      </c>
      <c r="CC12" s="302">
        <f t="shared" si="9"/>
        <v>96.687194244604171</v>
      </c>
      <c r="CD12" s="302">
        <f t="shared" si="9"/>
        <v>96.687194244604171</v>
      </c>
      <c r="CE12" s="302">
        <v>-96.69</v>
      </c>
      <c r="CF12" s="302">
        <v>0</v>
      </c>
      <c r="CG12" s="302">
        <v>0</v>
      </c>
      <c r="CH12" s="302">
        <v>0</v>
      </c>
      <c r="CI12" s="302">
        <v>0</v>
      </c>
      <c r="CJ12" s="302">
        <v>0</v>
      </c>
      <c r="CK12" s="302"/>
      <c r="CL12" s="302"/>
      <c r="CM12" s="302"/>
      <c r="CN12" s="302"/>
      <c r="CO12" s="302"/>
      <c r="CP12" s="302"/>
      <c r="CQ12" s="304" t="s">
        <v>645</v>
      </c>
    </row>
    <row r="13" spans="1:244" hidden="1" x14ac:dyDescent="0.25">
      <c r="A13" s="397" t="s">
        <v>270</v>
      </c>
      <c r="B13" s="397" t="s">
        <v>271</v>
      </c>
      <c r="C13" s="397">
        <v>10563</v>
      </c>
      <c r="D13" s="398">
        <v>1000960</v>
      </c>
      <c r="E13" s="397" t="s">
        <v>290</v>
      </c>
      <c r="F13" s="397" t="s">
        <v>291</v>
      </c>
      <c r="G13" s="317">
        <v>1689</v>
      </c>
      <c r="H13" s="317">
        <f t="shared" si="6"/>
        <v>2026.8</v>
      </c>
      <c r="I13" s="302">
        <f t="shared" si="0"/>
        <v>82.627338129496366</v>
      </c>
      <c r="J13" s="302">
        <f t="shared" si="4"/>
        <v>18.178014388489199</v>
      </c>
      <c r="K13" s="302">
        <f t="shared" si="5"/>
        <v>100.80535251798557</v>
      </c>
      <c r="L13" s="303">
        <f>($CR13/L$2)*$K13</f>
        <v>78.042853562311407</v>
      </c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4">
        <v>42667</v>
      </c>
      <c r="CR13" s="295">
        <v>24</v>
      </c>
    </row>
    <row r="14" spans="1:244" hidden="1" x14ac:dyDescent="0.25">
      <c r="A14" s="397" t="s">
        <v>292</v>
      </c>
      <c r="B14" s="397" t="s">
        <v>293</v>
      </c>
      <c r="C14" s="397">
        <v>10571</v>
      </c>
      <c r="D14" s="398">
        <v>104958</v>
      </c>
      <c r="E14" s="397" t="s">
        <v>294</v>
      </c>
      <c r="F14" s="397" t="s">
        <v>295</v>
      </c>
      <c r="G14" s="399">
        <v>1880</v>
      </c>
      <c r="H14" s="317">
        <f t="shared" si="6"/>
        <v>2256</v>
      </c>
      <c r="I14" s="302">
        <f t="shared" si="0"/>
        <v>91.971223021582773</v>
      </c>
      <c r="J14" s="302">
        <f t="shared" si="4"/>
        <v>20.233669064748209</v>
      </c>
      <c r="K14" s="302">
        <f t="shared" si="5"/>
        <v>112.20489208633099</v>
      </c>
      <c r="L14" s="302">
        <f t="shared" ref="L14:M19" si="10">K14</f>
        <v>112.20489208633099</v>
      </c>
      <c r="M14" s="302">
        <f>K14</f>
        <v>112.20489208633099</v>
      </c>
      <c r="N14" s="302">
        <f>K14</f>
        <v>112.20489208633099</v>
      </c>
      <c r="O14" s="303">
        <f>($CR14/O$2)*$K14</f>
        <v>97.726841494546349</v>
      </c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4">
        <v>42762</v>
      </c>
      <c r="CR14" s="295">
        <v>27</v>
      </c>
    </row>
    <row r="15" spans="1:244" hidden="1" x14ac:dyDescent="0.25">
      <c r="A15" s="395" t="s">
        <v>296</v>
      </c>
      <c r="B15" s="395" t="s">
        <v>297</v>
      </c>
      <c r="C15" s="395">
        <v>10572</v>
      </c>
      <c r="D15" s="400"/>
      <c r="E15" s="797" t="s">
        <v>298</v>
      </c>
      <c r="F15" s="395" t="s">
        <v>299</v>
      </c>
      <c r="G15" s="301">
        <v>1880</v>
      </c>
      <c r="H15" s="301">
        <f t="shared" si="6"/>
        <v>2256</v>
      </c>
      <c r="I15" s="302">
        <f t="shared" si="0"/>
        <v>91.971223021582773</v>
      </c>
      <c r="J15" s="302">
        <f t="shared" si="4"/>
        <v>20.233669064748209</v>
      </c>
      <c r="K15" s="302">
        <f t="shared" si="5"/>
        <v>112.20489208633099</v>
      </c>
      <c r="L15" s="302">
        <f t="shared" si="10"/>
        <v>112.20489208633099</v>
      </c>
      <c r="M15" s="302">
        <f>K15</f>
        <v>112.20489208633099</v>
      </c>
      <c r="N15" s="302">
        <f>K15</f>
        <v>112.20489208633099</v>
      </c>
      <c r="O15" s="302">
        <f>K15</f>
        <v>112.20489208633099</v>
      </c>
      <c r="P15" s="302">
        <f t="shared" ref="P15:AF16" si="11">K15</f>
        <v>112.20489208633099</v>
      </c>
      <c r="Q15" s="302">
        <f t="shared" si="11"/>
        <v>112.20489208633099</v>
      </c>
      <c r="R15" s="302">
        <f t="shared" si="11"/>
        <v>112.20489208633099</v>
      </c>
      <c r="S15" s="302">
        <f t="shared" si="11"/>
        <v>112.20489208633099</v>
      </c>
      <c r="T15" s="302">
        <f t="shared" si="11"/>
        <v>112.20489208633099</v>
      </c>
      <c r="U15" s="302">
        <f t="shared" si="11"/>
        <v>112.20489208633099</v>
      </c>
      <c r="V15" s="302">
        <f t="shared" si="11"/>
        <v>112.20489208633099</v>
      </c>
      <c r="W15" s="302">
        <f t="shared" si="11"/>
        <v>112.20489208633099</v>
      </c>
      <c r="X15" s="302">
        <f t="shared" si="11"/>
        <v>112.20489208633099</v>
      </c>
      <c r="Y15" s="302">
        <f t="shared" si="11"/>
        <v>112.20489208633099</v>
      </c>
      <c r="Z15" s="302">
        <f t="shared" si="11"/>
        <v>112.20489208633099</v>
      </c>
      <c r="AA15" s="302">
        <f t="shared" si="11"/>
        <v>112.20489208633099</v>
      </c>
      <c r="AB15" s="302">
        <f t="shared" si="11"/>
        <v>112.20489208633099</v>
      </c>
      <c r="AC15" s="302">
        <f t="shared" si="11"/>
        <v>112.20489208633099</v>
      </c>
      <c r="AD15" s="302">
        <f t="shared" si="11"/>
        <v>112.20489208633099</v>
      </c>
      <c r="AE15" s="302">
        <f t="shared" si="11"/>
        <v>112.20489208633099</v>
      </c>
      <c r="AF15" s="302">
        <f t="shared" si="11"/>
        <v>112.20489208633099</v>
      </c>
      <c r="AG15" s="302">
        <f t="shared" ref="AG15:AV16" si="12">AE15</f>
        <v>112.20489208633099</v>
      </c>
      <c r="AH15" s="302">
        <f t="shared" si="12"/>
        <v>112.20489208633099</v>
      </c>
      <c r="AI15" s="302">
        <f t="shared" si="12"/>
        <v>112.20489208633099</v>
      </c>
      <c r="AJ15" s="302">
        <f t="shared" si="12"/>
        <v>112.20489208633099</v>
      </c>
      <c r="AK15" s="302">
        <f t="shared" si="12"/>
        <v>112.20489208633099</v>
      </c>
      <c r="AL15" s="302">
        <f t="shared" si="12"/>
        <v>112.20489208633099</v>
      </c>
      <c r="AM15" s="302">
        <f t="shared" si="12"/>
        <v>112.20489208633099</v>
      </c>
      <c r="AN15" s="302">
        <f t="shared" si="12"/>
        <v>112.20489208633099</v>
      </c>
      <c r="AO15" s="302">
        <f t="shared" si="12"/>
        <v>112.20489208633099</v>
      </c>
      <c r="AP15" s="302">
        <f t="shared" si="12"/>
        <v>112.20489208633099</v>
      </c>
      <c r="AQ15" s="302">
        <f t="shared" si="12"/>
        <v>112.20489208633099</v>
      </c>
      <c r="AR15" s="302">
        <f t="shared" si="12"/>
        <v>112.20489208633099</v>
      </c>
      <c r="AS15" s="302">
        <f t="shared" si="12"/>
        <v>112.20489208633099</v>
      </c>
      <c r="AT15" s="302">
        <f t="shared" si="12"/>
        <v>112.20489208633099</v>
      </c>
      <c r="AU15" s="302">
        <f t="shared" si="12"/>
        <v>112.20489208633099</v>
      </c>
      <c r="AV15" s="302">
        <f t="shared" si="12"/>
        <v>112.20489208633099</v>
      </c>
      <c r="AW15" s="302">
        <f t="shared" ref="AW15:CJ16" si="13">AU15</f>
        <v>112.20489208633099</v>
      </c>
      <c r="AX15" s="302">
        <f t="shared" si="13"/>
        <v>112.20489208633099</v>
      </c>
      <c r="AY15" s="302">
        <f t="shared" si="13"/>
        <v>112.20489208633099</v>
      </c>
      <c r="AZ15" s="302">
        <f t="shared" si="13"/>
        <v>112.20489208633099</v>
      </c>
      <c r="BA15" s="302">
        <f t="shared" si="13"/>
        <v>112.20489208633099</v>
      </c>
      <c r="BB15" s="302">
        <f t="shared" si="13"/>
        <v>112.20489208633099</v>
      </c>
      <c r="BC15" s="302">
        <f t="shared" si="13"/>
        <v>112.20489208633099</v>
      </c>
      <c r="BD15" s="302">
        <f t="shared" si="13"/>
        <v>112.20489208633099</v>
      </c>
      <c r="BE15" s="302">
        <f t="shared" si="13"/>
        <v>112.20489208633099</v>
      </c>
      <c r="BF15" s="302">
        <f t="shared" si="13"/>
        <v>112.20489208633099</v>
      </c>
      <c r="BG15" s="302">
        <f t="shared" si="13"/>
        <v>112.20489208633099</v>
      </c>
      <c r="BH15" s="302">
        <f t="shared" si="13"/>
        <v>112.20489208633099</v>
      </c>
      <c r="BI15" s="302">
        <f t="shared" si="13"/>
        <v>112.20489208633099</v>
      </c>
      <c r="BJ15" s="302">
        <f t="shared" si="13"/>
        <v>112.20489208633099</v>
      </c>
      <c r="BK15" s="302">
        <f t="shared" si="13"/>
        <v>112.20489208633099</v>
      </c>
      <c r="BL15" s="302">
        <f t="shared" si="13"/>
        <v>112.20489208633099</v>
      </c>
      <c r="BM15" s="302">
        <f t="shared" si="13"/>
        <v>112.20489208633099</v>
      </c>
      <c r="BN15" s="302">
        <f t="shared" si="13"/>
        <v>112.20489208633099</v>
      </c>
      <c r="BO15" s="302">
        <f t="shared" si="13"/>
        <v>112.20489208633099</v>
      </c>
      <c r="BP15" s="302">
        <f t="shared" si="13"/>
        <v>112.20489208633099</v>
      </c>
      <c r="BQ15" s="302">
        <f t="shared" si="13"/>
        <v>112.20489208633099</v>
      </c>
      <c r="BR15" s="302">
        <f t="shared" si="13"/>
        <v>112.20489208633099</v>
      </c>
      <c r="BS15" s="302">
        <f t="shared" si="13"/>
        <v>112.20489208633099</v>
      </c>
      <c r="BT15" s="302">
        <f t="shared" si="13"/>
        <v>112.20489208633099</v>
      </c>
      <c r="BU15" s="302">
        <f t="shared" si="13"/>
        <v>112.20489208633099</v>
      </c>
      <c r="BV15" s="302">
        <f t="shared" si="13"/>
        <v>112.20489208633099</v>
      </c>
      <c r="BW15" s="302">
        <f t="shared" si="13"/>
        <v>112.20489208633099</v>
      </c>
      <c r="BX15" s="302">
        <f t="shared" si="13"/>
        <v>112.20489208633099</v>
      </c>
      <c r="BY15" s="302">
        <f t="shared" si="13"/>
        <v>112.20489208633099</v>
      </c>
      <c r="BZ15" s="302">
        <f t="shared" si="13"/>
        <v>112.20489208633099</v>
      </c>
      <c r="CA15" s="302">
        <f t="shared" si="13"/>
        <v>112.20489208633099</v>
      </c>
      <c r="CB15" s="302">
        <f t="shared" si="13"/>
        <v>112.20489208633099</v>
      </c>
      <c r="CC15" s="302">
        <f t="shared" si="13"/>
        <v>112.20489208633099</v>
      </c>
      <c r="CD15" s="302">
        <f t="shared" si="13"/>
        <v>112.20489208633099</v>
      </c>
      <c r="CE15" s="302">
        <f t="shared" si="13"/>
        <v>112.20489208633099</v>
      </c>
      <c r="CF15" s="302">
        <f t="shared" si="13"/>
        <v>112.20489208633099</v>
      </c>
      <c r="CG15" s="302">
        <f t="shared" si="13"/>
        <v>112.20489208633099</v>
      </c>
      <c r="CH15" s="302">
        <f t="shared" si="13"/>
        <v>112.20489208633099</v>
      </c>
      <c r="CI15" s="302">
        <f t="shared" si="13"/>
        <v>112.20489208633099</v>
      </c>
      <c r="CJ15" s="302">
        <f t="shared" si="13"/>
        <v>112.20489208633099</v>
      </c>
      <c r="CK15" s="302"/>
      <c r="CL15" s="302"/>
      <c r="CM15" s="302"/>
      <c r="CN15" s="302"/>
      <c r="CO15" s="302"/>
      <c r="CP15" s="302"/>
      <c r="CQ15" s="296"/>
    </row>
    <row r="16" spans="1:244" hidden="1" x14ac:dyDescent="0.25">
      <c r="A16" s="395" t="s">
        <v>296</v>
      </c>
      <c r="B16" s="395" t="s">
        <v>297</v>
      </c>
      <c r="C16" s="395">
        <v>10572</v>
      </c>
      <c r="D16" s="400">
        <v>130516</v>
      </c>
      <c r="E16" s="796" t="s">
        <v>300</v>
      </c>
      <c r="F16" s="395" t="s">
        <v>301</v>
      </c>
      <c r="G16" s="301">
        <v>1861</v>
      </c>
      <c r="H16" s="301">
        <f t="shared" si="6"/>
        <v>2233.1999999999998</v>
      </c>
      <c r="I16" s="302">
        <f t="shared" si="0"/>
        <v>91.04172661870507</v>
      </c>
      <c r="J16" s="302">
        <f t="shared" si="4"/>
        <v>20.029179856115114</v>
      </c>
      <c r="K16" s="302">
        <f t="shared" si="5"/>
        <v>111.07090647482019</v>
      </c>
      <c r="L16" s="302">
        <f t="shared" si="10"/>
        <v>111.07090647482019</v>
      </c>
      <c r="M16" s="302">
        <f>K16</f>
        <v>111.07090647482019</v>
      </c>
      <c r="N16" s="302">
        <f>K16</f>
        <v>111.07090647482019</v>
      </c>
      <c r="O16" s="302">
        <f>K16</f>
        <v>111.07090647482019</v>
      </c>
      <c r="P16" s="302">
        <f t="shared" si="11"/>
        <v>111.07090647482019</v>
      </c>
      <c r="Q16" s="302">
        <f t="shared" si="11"/>
        <v>111.07090647482019</v>
      </c>
      <c r="R16" s="302">
        <f t="shared" si="11"/>
        <v>111.07090647482019</v>
      </c>
      <c r="S16" s="302">
        <f t="shared" si="11"/>
        <v>111.07090647482019</v>
      </c>
      <c r="T16" s="302">
        <f t="shared" si="11"/>
        <v>111.07090647482019</v>
      </c>
      <c r="U16" s="302">
        <f t="shared" si="11"/>
        <v>111.07090647482019</v>
      </c>
      <c r="V16" s="302">
        <f t="shared" si="11"/>
        <v>111.07090647482019</v>
      </c>
      <c r="W16" s="302">
        <f t="shared" si="11"/>
        <v>111.07090647482019</v>
      </c>
      <c r="X16" s="302">
        <f t="shared" si="11"/>
        <v>111.07090647482019</v>
      </c>
      <c r="Y16" s="302">
        <f t="shared" si="11"/>
        <v>111.07090647482019</v>
      </c>
      <c r="Z16" s="302">
        <f t="shared" si="11"/>
        <v>111.07090647482019</v>
      </c>
      <c r="AA16" s="302">
        <f t="shared" si="11"/>
        <v>111.07090647482019</v>
      </c>
      <c r="AB16" s="302">
        <f t="shared" si="11"/>
        <v>111.07090647482019</v>
      </c>
      <c r="AC16" s="302">
        <f t="shared" si="11"/>
        <v>111.07090647482019</v>
      </c>
      <c r="AD16" s="302">
        <f t="shared" si="11"/>
        <v>111.07090647482019</v>
      </c>
      <c r="AE16" s="302">
        <f t="shared" si="11"/>
        <v>111.07090647482019</v>
      </c>
      <c r="AF16" s="302">
        <f t="shared" si="11"/>
        <v>111.07090647482019</v>
      </c>
      <c r="AG16" s="302">
        <f t="shared" si="12"/>
        <v>111.07090647482019</v>
      </c>
      <c r="AH16" s="302">
        <f t="shared" si="12"/>
        <v>111.07090647482019</v>
      </c>
      <c r="AI16" s="302">
        <f t="shared" si="12"/>
        <v>111.07090647482019</v>
      </c>
      <c r="AJ16" s="302">
        <f t="shared" si="12"/>
        <v>111.07090647482019</v>
      </c>
      <c r="AK16" s="302">
        <f t="shared" si="12"/>
        <v>111.07090647482019</v>
      </c>
      <c r="AL16" s="302">
        <f t="shared" si="12"/>
        <v>111.07090647482019</v>
      </c>
      <c r="AM16" s="302">
        <f t="shared" si="12"/>
        <v>111.07090647482019</v>
      </c>
      <c r="AN16" s="302">
        <f t="shared" si="12"/>
        <v>111.07090647482019</v>
      </c>
      <c r="AO16" s="302">
        <f t="shared" si="12"/>
        <v>111.07090647482019</v>
      </c>
      <c r="AP16" s="302">
        <f t="shared" si="12"/>
        <v>111.07090647482019</v>
      </c>
      <c r="AQ16" s="302">
        <f t="shared" si="12"/>
        <v>111.07090647482019</v>
      </c>
      <c r="AR16" s="302">
        <f t="shared" si="12"/>
        <v>111.07090647482019</v>
      </c>
      <c r="AS16" s="302">
        <f t="shared" si="12"/>
        <v>111.07090647482019</v>
      </c>
      <c r="AT16" s="302">
        <f t="shared" si="12"/>
        <v>111.07090647482019</v>
      </c>
      <c r="AU16" s="302">
        <f t="shared" si="12"/>
        <v>111.07090647482019</v>
      </c>
      <c r="AV16" s="302">
        <f t="shared" si="12"/>
        <v>111.07090647482019</v>
      </c>
      <c r="AW16" s="302">
        <f t="shared" si="13"/>
        <v>111.07090647482019</v>
      </c>
      <c r="AX16" s="302">
        <f t="shared" si="13"/>
        <v>111.07090647482019</v>
      </c>
      <c r="AY16" s="302">
        <f t="shared" si="13"/>
        <v>111.07090647482019</v>
      </c>
      <c r="AZ16" s="302">
        <f t="shared" si="13"/>
        <v>111.07090647482019</v>
      </c>
      <c r="BA16" s="302">
        <f t="shared" si="13"/>
        <v>111.07090647482019</v>
      </c>
      <c r="BB16" s="302">
        <f t="shared" si="13"/>
        <v>111.07090647482019</v>
      </c>
      <c r="BC16" s="302">
        <f t="shared" si="13"/>
        <v>111.07090647482019</v>
      </c>
      <c r="BD16" s="302">
        <f t="shared" si="13"/>
        <v>111.07090647482019</v>
      </c>
      <c r="BE16" s="302">
        <f t="shared" si="13"/>
        <v>111.07090647482019</v>
      </c>
      <c r="BF16" s="302">
        <f t="shared" si="13"/>
        <v>111.07090647482019</v>
      </c>
      <c r="BG16" s="302">
        <f t="shared" si="13"/>
        <v>111.07090647482019</v>
      </c>
      <c r="BH16" s="302">
        <f t="shared" si="13"/>
        <v>111.07090647482019</v>
      </c>
      <c r="BI16" s="302">
        <f t="shared" si="13"/>
        <v>111.07090647482019</v>
      </c>
      <c r="BJ16" s="302">
        <f t="shared" si="13"/>
        <v>111.07090647482019</v>
      </c>
      <c r="BK16" s="302">
        <f t="shared" si="13"/>
        <v>111.07090647482019</v>
      </c>
      <c r="BL16" s="302">
        <f t="shared" si="13"/>
        <v>111.07090647482019</v>
      </c>
      <c r="BM16" s="302">
        <f t="shared" si="13"/>
        <v>111.07090647482019</v>
      </c>
      <c r="BN16" s="302">
        <f t="shared" si="13"/>
        <v>111.07090647482019</v>
      </c>
      <c r="BO16" s="302">
        <f t="shared" si="13"/>
        <v>111.07090647482019</v>
      </c>
      <c r="BP16" s="302">
        <f t="shared" si="13"/>
        <v>111.07090647482019</v>
      </c>
      <c r="BQ16" s="302">
        <f t="shared" si="13"/>
        <v>111.07090647482019</v>
      </c>
      <c r="BR16" s="302">
        <f t="shared" si="13"/>
        <v>111.07090647482019</v>
      </c>
      <c r="BS16" s="302">
        <f t="shared" si="13"/>
        <v>111.07090647482019</v>
      </c>
      <c r="BT16" s="302">
        <f t="shared" si="13"/>
        <v>111.07090647482019</v>
      </c>
      <c r="BU16" s="302">
        <f t="shared" si="13"/>
        <v>111.07090647482019</v>
      </c>
      <c r="BV16" s="302">
        <f t="shared" si="13"/>
        <v>111.07090647482019</v>
      </c>
      <c r="BW16" s="302">
        <f t="shared" si="13"/>
        <v>111.07090647482019</v>
      </c>
      <c r="BX16" s="302">
        <f t="shared" si="13"/>
        <v>111.07090647482019</v>
      </c>
      <c r="BY16" s="302">
        <f t="shared" si="13"/>
        <v>111.07090647482019</v>
      </c>
      <c r="BZ16" s="302">
        <f t="shared" si="13"/>
        <v>111.07090647482019</v>
      </c>
      <c r="CA16" s="302">
        <f t="shared" si="13"/>
        <v>111.07090647482019</v>
      </c>
      <c r="CB16" s="302">
        <f t="shared" si="13"/>
        <v>111.07090647482019</v>
      </c>
      <c r="CC16" s="302">
        <f t="shared" si="13"/>
        <v>111.07090647482019</v>
      </c>
      <c r="CD16" s="302">
        <f t="shared" si="13"/>
        <v>111.07090647482019</v>
      </c>
      <c r="CE16" s="302">
        <f t="shared" si="13"/>
        <v>111.07090647482019</v>
      </c>
      <c r="CF16" s="302">
        <f t="shared" si="13"/>
        <v>111.07090647482019</v>
      </c>
      <c r="CG16" s="302">
        <f t="shared" si="13"/>
        <v>111.07090647482019</v>
      </c>
      <c r="CH16" s="302">
        <f t="shared" si="13"/>
        <v>111.07090647482019</v>
      </c>
      <c r="CI16" s="302">
        <f t="shared" si="13"/>
        <v>111.07090647482019</v>
      </c>
      <c r="CJ16" s="302">
        <f t="shared" si="13"/>
        <v>111.07090647482019</v>
      </c>
      <c r="CK16" s="302"/>
      <c r="CL16" s="302"/>
      <c r="CM16" s="302"/>
      <c r="CN16" s="302"/>
      <c r="CO16" s="302"/>
      <c r="CP16" s="302"/>
      <c r="CQ16" s="296"/>
    </row>
    <row r="17" spans="1:98" hidden="1" x14ac:dyDescent="0.25">
      <c r="A17" s="397" t="s">
        <v>296</v>
      </c>
      <c r="B17" s="397" t="s">
        <v>297</v>
      </c>
      <c r="C17" s="397">
        <v>10572</v>
      </c>
      <c r="D17" s="398">
        <v>130517</v>
      </c>
      <c r="E17" s="397" t="s">
        <v>302</v>
      </c>
      <c r="F17" s="397" t="s">
        <v>303</v>
      </c>
      <c r="G17" s="317">
        <v>2020</v>
      </c>
      <c r="H17" s="317">
        <f t="shared" si="6"/>
        <v>2424</v>
      </c>
      <c r="I17" s="302">
        <f t="shared" si="0"/>
        <v>98.820143884891877</v>
      </c>
      <c r="J17" s="302">
        <f t="shared" si="4"/>
        <v>21.740431654676215</v>
      </c>
      <c r="K17" s="302">
        <f t="shared" si="5"/>
        <v>120.56057553956809</v>
      </c>
      <c r="L17" s="302">
        <f t="shared" si="10"/>
        <v>120.56057553956809</v>
      </c>
      <c r="M17" s="302">
        <f t="shared" si="10"/>
        <v>120.56057553956809</v>
      </c>
      <c r="N17" s="303">
        <f>($CR17/N$2)*$K17</f>
        <v>62.224813181712562</v>
      </c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4">
        <v>42720</v>
      </c>
      <c r="CR17" s="295">
        <v>16</v>
      </c>
    </row>
    <row r="18" spans="1:98" hidden="1" x14ac:dyDescent="0.25">
      <c r="A18" s="395" t="s">
        <v>296</v>
      </c>
      <c r="B18" s="395" t="s">
        <v>297</v>
      </c>
      <c r="C18" s="395">
        <v>10572</v>
      </c>
      <c r="D18" s="400">
        <v>13886</v>
      </c>
      <c r="E18" s="797" t="s">
        <v>304</v>
      </c>
      <c r="F18" s="395" t="s">
        <v>305</v>
      </c>
      <c r="G18" s="301">
        <v>1689</v>
      </c>
      <c r="H18" s="301">
        <f t="shared" si="6"/>
        <v>2026.8</v>
      </c>
      <c r="I18" s="302">
        <f t="shared" si="0"/>
        <v>82.627338129496366</v>
      </c>
      <c r="J18" s="302">
        <f t="shared" si="4"/>
        <v>18.178014388489199</v>
      </c>
      <c r="K18" s="302">
        <f t="shared" si="5"/>
        <v>100.80535251798557</v>
      </c>
      <c r="L18" s="302">
        <f>K18</f>
        <v>100.80535251798557</v>
      </c>
      <c r="M18" s="302">
        <f>K18</f>
        <v>100.80535251798557</v>
      </c>
      <c r="N18" s="302">
        <f>K18</f>
        <v>100.80535251798557</v>
      </c>
      <c r="O18" s="302">
        <f>K18</f>
        <v>100.80535251798557</v>
      </c>
      <c r="P18" s="302">
        <f>K18</f>
        <v>100.80535251798557</v>
      </c>
      <c r="Q18" s="302">
        <f>L18</f>
        <v>100.80535251798557</v>
      </c>
      <c r="R18" s="302">
        <f t="shared" ref="R18:AF18" si="14">M18</f>
        <v>100.80535251798557</v>
      </c>
      <c r="S18" s="302">
        <f t="shared" si="14"/>
        <v>100.80535251798557</v>
      </c>
      <c r="T18" s="302">
        <f t="shared" si="14"/>
        <v>100.80535251798557</v>
      </c>
      <c r="U18" s="302">
        <f t="shared" si="14"/>
        <v>100.80535251798557</v>
      </c>
      <c r="V18" s="302">
        <f t="shared" si="14"/>
        <v>100.80535251798557</v>
      </c>
      <c r="W18" s="302">
        <f t="shared" si="14"/>
        <v>100.80535251798557</v>
      </c>
      <c r="X18" s="302">
        <f t="shared" si="14"/>
        <v>100.80535251798557</v>
      </c>
      <c r="Y18" s="302">
        <f t="shared" si="14"/>
        <v>100.80535251798557</v>
      </c>
      <c r="Z18" s="302">
        <f t="shared" si="14"/>
        <v>100.80535251798557</v>
      </c>
      <c r="AA18" s="302">
        <f t="shared" si="14"/>
        <v>100.80535251798557</v>
      </c>
      <c r="AB18" s="302">
        <f t="shared" si="14"/>
        <v>100.80535251798557</v>
      </c>
      <c r="AC18" s="302">
        <f t="shared" si="14"/>
        <v>100.80535251798557</v>
      </c>
      <c r="AD18" s="302">
        <f t="shared" si="14"/>
        <v>100.80535251798557</v>
      </c>
      <c r="AE18" s="302">
        <f t="shared" si="14"/>
        <v>100.80535251798557</v>
      </c>
      <c r="AF18" s="302">
        <f t="shared" si="14"/>
        <v>100.80535251798557</v>
      </c>
      <c r="AG18" s="302">
        <f t="shared" ref="AG18:AV18" si="15">AE18</f>
        <v>100.80535251798557</v>
      </c>
      <c r="AH18" s="302">
        <f t="shared" si="15"/>
        <v>100.80535251798557</v>
      </c>
      <c r="AI18" s="302">
        <f t="shared" si="15"/>
        <v>100.80535251798557</v>
      </c>
      <c r="AJ18" s="302">
        <f t="shared" si="15"/>
        <v>100.80535251798557</v>
      </c>
      <c r="AK18" s="302">
        <f t="shared" si="15"/>
        <v>100.80535251798557</v>
      </c>
      <c r="AL18" s="302">
        <f t="shared" si="15"/>
        <v>100.80535251798557</v>
      </c>
      <c r="AM18" s="302">
        <f t="shared" si="15"/>
        <v>100.80535251798557</v>
      </c>
      <c r="AN18" s="302">
        <f t="shared" si="15"/>
        <v>100.80535251798557</v>
      </c>
      <c r="AO18" s="302">
        <f t="shared" si="15"/>
        <v>100.80535251798557</v>
      </c>
      <c r="AP18" s="302">
        <f t="shared" si="15"/>
        <v>100.80535251798557</v>
      </c>
      <c r="AQ18" s="302">
        <f t="shared" si="15"/>
        <v>100.80535251798557</v>
      </c>
      <c r="AR18" s="302">
        <f t="shared" si="15"/>
        <v>100.80535251798557</v>
      </c>
      <c r="AS18" s="302">
        <f t="shared" si="15"/>
        <v>100.80535251798557</v>
      </c>
      <c r="AT18" s="302">
        <f t="shared" si="15"/>
        <v>100.80535251798557</v>
      </c>
      <c r="AU18" s="302">
        <f t="shared" si="15"/>
        <v>100.80535251798557</v>
      </c>
      <c r="AV18" s="302">
        <f t="shared" si="15"/>
        <v>100.80535251798557</v>
      </c>
      <c r="AW18" s="302">
        <f t="shared" ref="AW18:BL18" si="16">AU18</f>
        <v>100.80535251798557</v>
      </c>
      <c r="AX18" s="302">
        <f t="shared" si="16"/>
        <v>100.80535251798557</v>
      </c>
      <c r="AY18" s="302">
        <f t="shared" si="16"/>
        <v>100.80535251798557</v>
      </c>
      <c r="AZ18" s="302">
        <f t="shared" si="16"/>
        <v>100.80535251798557</v>
      </c>
      <c r="BA18" s="302">
        <f t="shared" si="16"/>
        <v>100.80535251798557</v>
      </c>
      <c r="BB18" s="302">
        <f t="shared" si="16"/>
        <v>100.80535251798557</v>
      </c>
      <c r="BC18" s="302">
        <f t="shared" si="16"/>
        <v>100.80535251798557</v>
      </c>
      <c r="BD18" s="302">
        <f t="shared" si="16"/>
        <v>100.80535251798557</v>
      </c>
      <c r="BE18" s="302">
        <f t="shared" si="16"/>
        <v>100.80535251798557</v>
      </c>
      <c r="BF18" s="302">
        <f t="shared" si="16"/>
        <v>100.80535251798557</v>
      </c>
      <c r="BG18" s="302">
        <f t="shared" si="16"/>
        <v>100.80535251798557</v>
      </c>
      <c r="BH18" s="302">
        <f t="shared" si="16"/>
        <v>100.80535251798557</v>
      </c>
      <c r="BI18" s="302">
        <f t="shared" si="16"/>
        <v>100.80535251798557</v>
      </c>
      <c r="BJ18" s="302">
        <f t="shared" si="16"/>
        <v>100.80535251798557</v>
      </c>
      <c r="BK18" s="302">
        <f t="shared" si="16"/>
        <v>100.80535251798557</v>
      </c>
      <c r="BL18" s="302">
        <f t="shared" si="16"/>
        <v>100.80535251798557</v>
      </c>
      <c r="BM18" s="302">
        <f t="shared" ref="BM18:BU18" si="17">BK18</f>
        <v>100.80535251798557</v>
      </c>
      <c r="BN18" s="302">
        <f t="shared" si="17"/>
        <v>100.80535251798557</v>
      </c>
      <c r="BO18" s="302">
        <f t="shared" si="17"/>
        <v>100.80535251798557</v>
      </c>
      <c r="BP18" s="302">
        <f t="shared" si="17"/>
        <v>100.80535251798557</v>
      </c>
      <c r="BQ18" s="302">
        <f t="shared" si="17"/>
        <v>100.80535251798557</v>
      </c>
      <c r="BR18" s="302">
        <f t="shared" si="17"/>
        <v>100.80535251798557</v>
      </c>
      <c r="BS18" s="302">
        <f t="shared" si="17"/>
        <v>100.80535251798557</v>
      </c>
      <c r="BT18" s="302">
        <f t="shared" si="17"/>
        <v>100.80535251798557</v>
      </c>
      <c r="BU18" s="302">
        <f t="shared" si="17"/>
        <v>100.80535251798557</v>
      </c>
      <c r="BV18" s="302">
        <f t="shared" ref="BV18:CJ18" si="18">BT18</f>
        <v>100.80535251798557</v>
      </c>
      <c r="BW18" s="302">
        <f t="shared" si="18"/>
        <v>100.80535251798557</v>
      </c>
      <c r="BX18" s="302">
        <f t="shared" si="18"/>
        <v>100.80535251798557</v>
      </c>
      <c r="BY18" s="302">
        <f t="shared" si="18"/>
        <v>100.80535251798557</v>
      </c>
      <c r="BZ18" s="302">
        <f t="shared" si="18"/>
        <v>100.80535251798557</v>
      </c>
      <c r="CA18" s="302">
        <f t="shared" si="18"/>
        <v>100.80535251798557</v>
      </c>
      <c r="CB18" s="302">
        <f t="shared" si="18"/>
        <v>100.80535251798557</v>
      </c>
      <c r="CC18" s="302">
        <f t="shared" si="18"/>
        <v>100.80535251798557</v>
      </c>
      <c r="CD18" s="302">
        <f t="shared" si="18"/>
        <v>100.80535251798557</v>
      </c>
      <c r="CE18" s="302">
        <f t="shared" si="18"/>
        <v>100.80535251798557</v>
      </c>
      <c r="CF18" s="302">
        <f t="shared" si="18"/>
        <v>100.80535251798557</v>
      </c>
      <c r="CG18" s="302">
        <f t="shared" si="18"/>
        <v>100.80535251798557</v>
      </c>
      <c r="CH18" s="302">
        <f t="shared" si="18"/>
        <v>100.80535251798557</v>
      </c>
      <c r="CI18" s="302">
        <f t="shared" si="18"/>
        <v>100.80535251798557</v>
      </c>
      <c r="CJ18" s="302">
        <f t="shared" si="18"/>
        <v>100.80535251798557</v>
      </c>
      <c r="CK18" s="302"/>
      <c r="CL18" s="302"/>
      <c r="CM18" s="302"/>
      <c r="CN18" s="302"/>
      <c r="CO18" s="302"/>
      <c r="CP18" s="302"/>
      <c r="CQ18" s="296"/>
    </row>
    <row r="19" spans="1:98" hidden="1" x14ac:dyDescent="0.25">
      <c r="A19" s="397" t="s">
        <v>296</v>
      </c>
      <c r="B19" s="397" t="s">
        <v>297</v>
      </c>
      <c r="C19" s="397">
        <v>10572</v>
      </c>
      <c r="D19" s="398">
        <v>77831</v>
      </c>
      <c r="E19" s="397" t="s">
        <v>306</v>
      </c>
      <c r="F19" s="397" t="s">
        <v>307</v>
      </c>
      <c r="G19" s="317">
        <v>2052</v>
      </c>
      <c r="H19" s="317">
        <f t="shared" si="6"/>
        <v>2462.4</v>
      </c>
      <c r="I19" s="302">
        <f t="shared" si="0"/>
        <v>100.38561151079148</v>
      </c>
      <c r="J19" s="302">
        <f t="shared" si="4"/>
        <v>22.084834532374124</v>
      </c>
      <c r="K19" s="302">
        <f t="shared" si="5"/>
        <v>122.47044604316559</v>
      </c>
      <c r="L19" s="302">
        <f>K19</f>
        <v>122.47044604316559</v>
      </c>
      <c r="M19" s="302">
        <f t="shared" si="10"/>
        <v>122.47044604316559</v>
      </c>
      <c r="N19" s="303">
        <f>($CR19/N$2)*$K19</f>
        <v>63.210552796472562</v>
      </c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4">
        <v>42720</v>
      </c>
      <c r="CR19" s="295">
        <v>16</v>
      </c>
    </row>
    <row r="20" spans="1:98" hidden="1" x14ac:dyDescent="0.25">
      <c r="A20" s="397" t="s">
        <v>296</v>
      </c>
      <c r="B20" s="397" t="s">
        <v>297</v>
      </c>
      <c r="C20" s="397">
        <v>10572</v>
      </c>
      <c r="D20" s="398">
        <v>129239</v>
      </c>
      <c r="E20" s="397" t="s">
        <v>308</v>
      </c>
      <c r="F20" s="397" t="s">
        <v>309</v>
      </c>
      <c r="G20" s="317">
        <v>1861</v>
      </c>
      <c r="H20" s="317">
        <f t="shared" si="6"/>
        <v>2233.1999999999998</v>
      </c>
      <c r="I20" s="302">
        <f t="shared" si="0"/>
        <v>91.04172661870507</v>
      </c>
      <c r="J20" s="302">
        <f t="shared" si="4"/>
        <v>20.029179856115114</v>
      </c>
      <c r="K20" s="302">
        <f t="shared" si="5"/>
        <v>111.07090647482019</v>
      </c>
      <c r="L20" s="303">
        <f>($CR20/L$2)*$K20</f>
        <v>46.57812207008589</v>
      </c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4">
        <v>42656</v>
      </c>
      <c r="CR20" s="295">
        <v>13</v>
      </c>
    </row>
    <row r="21" spans="1:98" hidden="1" x14ac:dyDescent="0.25">
      <c r="A21" s="397" t="s">
        <v>296</v>
      </c>
      <c r="B21" s="397" t="s">
        <v>297</v>
      </c>
      <c r="C21" s="397">
        <v>10572</v>
      </c>
      <c r="D21" s="398">
        <v>13891</v>
      </c>
      <c r="E21" s="397" t="s">
        <v>310</v>
      </c>
      <c r="F21" s="397" t="s">
        <v>303</v>
      </c>
      <c r="G21" s="317">
        <v>2083</v>
      </c>
      <c r="H21" s="317">
        <f t="shared" si="6"/>
        <v>2499.6</v>
      </c>
      <c r="I21" s="302">
        <f t="shared" si="0"/>
        <v>101.90215827338125</v>
      </c>
      <c r="J21" s="302">
        <f t="shared" si="4"/>
        <v>22.418474820143874</v>
      </c>
      <c r="K21" s="302">
        <f t="shared" si="5"/>
        <v>124.32063309352512</v>
      </c>
      <c r="L21" s="302">
        <f>K21</f>
        <v>124.32063309352512</v>
      </c>
      <c r="M21" s="303">
        <f>($CR21/M$2)*$K21</f>
        <v>99.456506474820102</v>
      </c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4">
        <v>42698</v>
      </c>
      <c r="CR21" s="295">
        <v>24</v>
      </c>
    </row>
    <row r="22" spans="1:98" hidden="1" x14ac:dyDescent="0.25">
      <c r="A22" s="395" t="s">
        <v>296</v>
      </c>
      <c r="B22" s="395" t="s">
        <v>297</v>
      </c>
      <c r="C22" s="395">
        <v>10572</v>
      </c>
      <c r="D22" s="400">
        <v>13885</v>
      </c>
      <c r="E22" s="796" t="s">
        <v>311</v>
      </c>
      <c r="F22" s="395" t="s">
        <v>312</v>
      </c>
      <c r="G22" s="301">
        <v>2203</v>
      </c>
      <c r="H22" s="301">
        <f t="shared" si="6"/>
        <v>2643.6</v>
      </c>
      <c r="I22" s="302">
        <f t="shared" si="0"/>
        <v>107.77266187050373</v>
      </c>
      <c r="J22" s="302">
        <f t="shared" si="4"/>
        <v>23.70998561151082</v>
      </c>
      <c r="K22" s="302">
        <f t="shared" si="5"/>
        <v>131.48264748201456</v>
      </c>
      <c r="L22" s="302">
        <f t="shared" ref="L22:M33" si="19">K22</f>
        <v>131.48264748201456</v>
      </c>
      <c r="M22" s="302">
        <f t="shared" ref="M22:M32" si="20">K22</f>
        <v>131.48264748201456</v>
      </c>
      <c r="N22" s="302">
        <f t="shared" ref="N22:N32" si="21">K22</f>
        <v>131.48264748201456</v>
      </c>
      <c r="O22" s="302">
        <f t="shared" ref="O22:O32" si="22">K22</f>
        <v>131.48264748201456</v>
      </c>
      <c r="P22" s="302">
        <f t="shared" ref="P22:AF32" si="23">K22</f>
        <v>131.48264748201456</v>
      </c>
      <c r="Q22" s="302">
        <f t="shared" si="23"/>
        <v>131.48264748201456</v>
      </c>
      <c r="R22" s="302">
        <f t="shared" si="23"/>
        <v>131.48264748201456</v>
      </c>
      <c r="S22" s="302">
        <f t="shared" si="23"/>
        <v>131.48264748201456</v>
      </c>
      <c r="T22" s="302">
        <f t="shared" si="23"/>
        <v>131.48264748201456</v>
      </c>
      <c r="U22" s="302">
        <f t="shared" si="23"/>
        <v>131.48264748201456</v>
      </c>
      <c r="V22" s="302">
        <f t="shared" si="23"/>
        <v>131.48264748201456</v>
      </c>
      <c r="W22" s="302">
        <f t="shared" si="23"/>
        <v>131.48264748201456</v>
      </c>
      <c r="X22" s="302">
        <f t="shared" si="23"/>
        <v>131.48264748201456</v>
      </c>
      <c r="Y22" s="302">
        <f t="shared" si="23"/>
        <v>131.48264748201456</v>
      </c>
      <c r="Z22" s="302">
        <f t="shared" si="23"/>
        <v>131.48264748201456</v>
      </c>
      <c r="AA22" s="302">
        <f t="shared" si="23"/>
        <v>131.48264748201456</v>
      </c>
      <c r="AB22" s="302">
        <f t="shared" si="23"/>
        <v>131.48264748201456</v>
      </c>
      <c r="AC22" s="302">
        <f t="shared" si="23"/>
        <v>131.48264748201456</v>
      </c>
      <c r="AD22" s="302">
        <f t="shared" si="23"/>
        <v>131.48264748201456</v>
      </c>
      <c r="AE22" s="302">
        <f t="shared" si="23"/>
        <v>131.48264748201456</v>
      </c>
      <c r="AF22" s="302">
        <f t="shared" si="23"/>
        <v>131.48264748201456</v>
      </c>
      <c r="AG22" s="302">
        <f t="shared" ref="AG22:AV22" si="24">AE22</f>
        <v>131.48264748201456</v>
      </c>
      <c r="AH22" s="302">
        <f t="shared" si="24"/>
        <v>131.48264748201456</v>
      </c>
      <c r="AI22" s="302">
        <f t="shared" si="24"/>
        <v>131.48264748201456</v>
      </c>
      <c r="AJ22" s="302">
        <f t="shared" si="24"/>
        <v>131.48264748201456</v>
      </c>
      <c r="AK22" s="302">
        <f t="shared" si="24"/>
        <v>131.48264748201456</v>
      </c>
      <c r="AL22" s="302">
        <f t="shared" si="24"/>
        <v>131.48264748201456</v>
      </c>
      <c r="AM22" s="302">
        <f t="shared" si="24"/>
        <v>131.48264748201456</v>
      </c>
      <c r="AN22" s="302">
        <f t="shared" si="24"/>
        <v>131.48264748201456</v>
      </c>
      <c r="AO22" s="302">
        <f t="shared" si="24"/>
        <v>131.48264748201456</v>
      </c>
      <c r="AP22" s="302">
        <f t="shared" si="24"/>
        <v>131.48264748201456</v>
      </c>
      <c r="AQ22" s="302">
        <f t="shared" si="24"/>
        <v>131.48264748201456</v>
      </c>
      <c r="AR22" s="302">
        <f t="shared" si="24"/>
        <v>131.48264748201456</v>
      </c>
      <c r="AS22" s="302">
        <f t="shared" si="24"/>
        <v>131.48264748201456</v>
      </c>
      <c r="AT22" s="302">
        <f t="shared" si="24"/>
        <v>131.48264748201456</v>
      </c>
      <c r="AU22" s="302">
        <f t="shared" si="24"/>
        <v>131.48264748201456</v>
      </c>
      <c r="AV22" s="302">
        <f t="shared" si="24"/>
        <v>131.48264748201456</v>
      </c>
      <c r="AW22" s="302">
        <f t="shared" ref="AW22:CJ22" si="25">AU22</f>
        <v>131.48264748201456</v>
      </c>
      <c r="AX22" s="302">
        <f t="shared" si="25"/>
        <v>131.48264748201456</v>
      </c>
      <c r="AY22" s="302">
        <f t="shared" si="25"/>
        <v>131.48264748201456</v>
      </c>
      <c r="AZ22" s="302">
        <f t="shared" si="25"/>
        <v>131.48264748201456</v>
      </c>
      <c r="BA22" s="302">
        <f t="shared" si="25"/>
        <v>131.48264748201456</v>
      </c>
      <c r="BB22" s="302">
        <f t="shared" si="25"/>
        <v>131.48264748201456</v>
      </c>
      <c r="BC22" s="302">
        <f t="shared" si="25"/>
        <v>131.48264748201456</v>
      </c>
      <c r="BD22" s="302">
        <f t="shared" si="25"/>
        <v>131.48264748201456</v>
      </c>
      <c r="BE22" s="302">
        <f t="shared" si="25"/>
        <v>131.48264748201456</v>
      </c>
      <c r="BF22" s="302">
        <f t="shared" si="25"/>
        <v>131.48264748201456</v>
      </c>
      <c r="BG22" s="302">
        <f t="shared" si="25"/>
        <v>131.48264748201456</v>
      </c>
      <c r="BH22" s="302">
        <f t="shared" si="25"/>
        <v>131.48264748201456</v>
      </c>
      <c r="BI22" s="302">
        <f t="shared" si="25"/>
        <v>131.48264748201456</v>
      </c>
      <c r="BJ22" s="302">
        <f t="shared" si="25"/>
        <v>131.48264748201456</v>
      </c>
      <c r="BK22" s="302">
        <f t="shared" si="25"/>
        <v>131.48264748201456</v>
      </c>
      <c r="BL22" s="302">
        <f t="shared" si="25"/>
        <v>131.48264748201456</v>
      </c>
      <c r="BM22" s="302">
        <f t="shared" si="25"/>
        <v>131.48264748201456</v>
      </c>
      <c r="BN22" s="302">
        <f t="shared" si="25"/>
        <v>131.48264748201456</v>
      </c>
      <c r="BO22" s="302">
        <f t="shared" si="25"/>
        <v>131.48264748201456</v>
      </c>
      <c r="BP22" s="302">
        <f t="shared" si="25"/>
        <v>131.48264748201456</v>
      </c>
      <c r="BQ22" s="302">
        <f t="shared" si="25"/>
        <v>131.48264748201456</v>
      </c>
      <c r="BR22" s="302">
        <f t="shared" si="25"/>
        <v>131.48264748201456</v>
      </c>
      <c r="BS22" s="302">
        <f t="shared" si="25"/>
        <v>131.48264748201456</v>
      </c>
      <c r="BT22" s="302">
        <f t="shared" si="25"/>
        <v>131.48264748201456</v>
      </c>
      <c r="BU22" s="302">
        <f t="shared" si="25"/>
        <v>131.48264748201456</v>
      </c>
      <c r="BV22" s="302">
        <f t="shared" si="25"/>
        <v>131.48264748201456</v>
      </c>
      <c r="BW22" s="302">
        <f t="shared" si="25"/>
        <v>131.48264748201456</v>
      </c>
      <c r="BX22" s="302">
        <f t="shared" si="25"/>
        <v>131.48264748201456</v>
      </c>
      <c r="BY22" s="302">
        <f t="shared" si="25"/>
        <v>131.48264748201456</v>
      </c>
      <c r="BZ22" s="302">
        <f t="shared" si="25"/>
        <v>131.48264748201456</v>
      </c>
      <c r="CA22" s="302">
        <f t="shared" si="25"/>
        <v>131.48264748201456</v>
      </c>
      <c r="CB22" s="302">
        <f t="shared" si="25"/>
        <v>131.48264748201456</v>
      </c>
      <c r="CC22" s="302">
        <f t="shared" si="25"/>
        <v>131.48264748201456</v>
      </c>
      <c r="CD22" s="302">
        <f t="shared" si="25"/>
        <v>131.48264748201456</v>
      </c>
      <c r="CE22" s="302">
        <f t="shared" si="25"/>
        <v>131.48264748201456</v>
      </c>
      <c r="CF22" s="302">
        <f t="shared" si="25"/>
        <v>131.48264748201456</v>
      </c>
      <c r="CG22" s="302">
        <f t="shared" si="25"/>
        <v>131.48264748201456</v>
      </c>
      <c r="CH22" s="302">
        <f t="shared" si="25"/>
        <v>131.48264748201456</v>
      </c>
      <c r="CI22" s="302">
        <f t="shared" si="25"/>
        <v>131.48264748201456</v>
      </c>
      <c r="CJ22" s="302">
        <f t="shared" si="25"/>
        <v>131.48264748201456</v>
      </c>
      <c r="CK22" s="302"/>
      <c r="CL22" s="302"/>
      <c r="CM22" s="302"/>
      <c r="CN22" s="302"/>
      <c r="CO22" s="302"/>
      <c r="CP22" s="302"/>
      <c r="CQ22" s="296"/>
    </row>
    <row r="23" spans="1:98" hidden="1" x14ac:dyDescent="0.25">
      <c r="A23" s="397" t="s">
        <v>296</v>
      </c>
      <c r="B23" s="397" t="s">
        <v>297</v>
      </c>
      <c r="C23" s="397">
        <v>10572</v>
      </c>
      <c r="D23" s="398">
        <v>13892</v>
      </c>
      <c r="E23" s="397" t="s">
        <v>313</v>
      </c>
      <c r="F23" s="397" t="s">
        <v>314</v>
      </c>
      <c r="G23" s="317">
        <v>2073</v>
      </c>
      <c r="H23" s="317">
        <f t="shared" si="6"/>
        <v>2487.6</v>
      </c>
      <c r="I23" s="302">
        <f t="shared" si="0"/>
        <v>101.41294964028793</v>
      </c>
      <c r="J23" s="302">
        <f t="shared" si="4"/>
        <v>22.310848920863346</v>
      </c>
      <c r="K23" s="302">
        <f t="shared" si="5"/>
        <v>123.72379856115128</v>
      </c>
      <c r="L23" s="302">
        <f t="shared" si="19"/>
        <v>123.72379856115128</v>
      </c>
      <c r="M23" s="302">
        <f t="shared" si="20"/>
        <v>123.72379856115128</v>
      </c>
      <c r="N23" s="302">
        <f t="shared" si="21"/>
        <v>123.72379856115128</v>
      </c>
      <c r="O23" s="303">
        <f>($CR23/O$2)*$K23</f>
        <v>87.803986075655757</v>
      </c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4">
        <v>42757</v>
      </c>
      <c r="CR23" s="295">
        <v>22</v>
      </c>
    </row>
    <row r="24" spans="1:98" hidden="1" x14ac:dyDescent="0.25">
      <c r="A24" s="397" t="s">
        <v>296</v>
      </c>
      <c r="B24" s="397" t="s">
        <v>297</v>
      </c>
      <c r="C24" s="397">
        <v>10572</v>
      </c>
      <c r="D24" s="398">
        <v>77833</v>
      </c>
      <c r="E24" s="397" t="s">
        <v>315</v>
      </c>
      <c r="F24" s="395" t="s">
        <v>316</v>
      </c>
      <c r="G24" s="317">
        <v>2083</v>
      </c>
      <c r="H24" s="317">
        <f t="shared" si="6"/>
        <v>2499.6</v>
      </c>
      <c r="I24" s="302">
        <f t="shared" si="0"/>
        <v>101.90215827338125</v>
      </c>
      <c r="J24" s="302">
        <f t="shared" si="4"/>
        <v>22.418474820143874</v>
      </c>
      <c r="K24" s="302">
        <f t="shared" si="5"/>
        <v>124.32063309352512</v>
      </c>
      <c r="L24" s="302">
        <f t="shared" si="19"/>
        <v>124.32063309352512</v>
      </c>
      <c r="M24" s="302">
        <f t="shared" si="20"/>
        <v>124.32063309352512</v>
      </c>
      <c r="N24" s="302">
        <f t="shared" si="21"/>
        <v>124.32063309352512</v>
      </c>
      <c r="O24" s="302">
        <f t="shared" si="22"/>
        <v>124.32063309352512</v>
      </c>
      <c r="P24" s="302">
        <f t="shared" si="23"/>
        <v>124.32063309352512</v>
      </c>
      <c r="Q24" s="302">
        <f t="shared" si="23"/>
        <v>124.32063309352512</v>
      </c>
      <c r="R24" s="302">
        <f t="shared" si="23"/>
        <v>124.32063309352512</v>
      </c>
      <c r="S24" s="303">
        <f>($CR24/S$2)*$K24</f>
        <v>60.155145045254088</v>
      </c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4">
        <v>42870</v>
      </c>
      <c r="CR24" s="295">
        <v>15</v>
      </c>
    </row>
    <row r="25" spans="1:98" hidden="1" x14ac:dyDescent="0.25">
      <c r="A25" s="395" t="s">
        <v>296</v>
      </c>
      <c r="B25" s="395" t="s">
        <v>297</v>
      </c>
      <c r="C25" s="395">
        <v>10572</v>
      </c>
      <c r="D25" s="400">
        <v>130518</v>
      </c>
      <c r="E25" s="797" t="s">
        <v>317</v>
      </c>
      <c r="F25" s="395" t="s">
        <v>318</v>
      </c>
      <c r="G25" s="301">
        <v>1689</v>
      </c>
      <c r="H25" s="301">
        <f t="shared" si="6"/>
        <v>2026.8</v>
      </c>
      <c r="I25" s="302">
        <f t="shared" si="0"/>
        <v>82.627338129496366</v>
      </c>
      <c r="J25" s="302">
        <f t="shared" si="4"/>
        <v>18.178014388489199</v>
      </c>
      <c r="K25" s="302">
        <f t="shared" si="5"/>
        <v>100.80535251798557</v>
      </c>
      <c r="L25" s="302">
        <f t="shared" si="19"/>
        <v>100.80535251798557</v>
      </c>
      <c r="M25" s="302">
        <f t="shared" si="20"/>
        <v>100.80535251798557</v>
      </c>
      <c r="N25" s="302">
        <f t="shared" si="21"/>
        <v>100.80535251798557</v>
      </c>
      <c r="O25" s="302">
        <f t="shared" si="22"/>
        <v>100.80535251798557</v>
      </c>
      <c r="P25" s="302">
        <f t="shared" si="23"/>
        <v>100.80535251798557</v>
      </c>
      <c r="Q25" s="302">
        <f t="shared" si="23"/>
        <v>100.80535251798557</v>
      </c>
      <c r="R25" s="302">
        <f t="shared" si="23"/>
        <v>100.80535251798557</v>
      </c>
      <c r="S25" s="302">
        <f t="shared" si="23"/>
        <v>100.80535251798557</v>
      </c>
      <c r="T25" s="302">
        <f t="shared" si="23"/>
        <v>100.80535251798557</v>
      </c>
      <c r="U25" s="302">
        <f t="shared" si="23"/>
        <v>100.80535251798557</v>
      </c>
      <c r="V25" s="302">
        <f t="shared" si="23"/>
        <v>100.80535251798557</v>
      </c>
      <c r="W25" s="302">
        <f t="shared" si="23"/>
        <v>100.80535251798557</v>
      </c>
      <c r="X25" s="302">
        <f t="shared" si="23"/>
        <v>100.80535251798557</v>
      </c>
      <c r="Y25" s="302">
        <f t="shared" si="23"/>
        <v>100.80535251798557</v>
      </c>
      <c r="Z25" s="302">
        <f t="shared" si="23"/>
        <v>100.80535251798557</v>
      </c>
      <c r="AA25" s="302">
        <f t="shared" si="23"/>
        <v>100.80535251798557</v>
      </c>
      <c r="AB25" s="302">
        <f t="shared" si="23"/>
        <v>100.80535251798557</v>
      </c>
      <c r="AC25" s="302">
        <f t="shared" si="23"/>
        <v>100.80535251798557</v>
      </c>
      <c r="AD25" s="302">
        <f t="shared" si="23"/>
        <v>100.80535251798557</v>
      </c>
      <c r="AE25" s="302">
        <f t="shared" si="23"/>
        <v>100.80535251798557</v>
      </c>
      <c r="AF25" s="302">
        <f t="shared" si="23"/>
        <v>100.80535251798557</v>
      </c>
      <c r="AG25" s="302">
        <f t="shared" ref="AG25:AV25" si="26">AE25</f>
        <v>100.80535251798557</v>
      </c>
      <c r="AH25" s="302">
        <f t="shared" si="26"/>
        <v>100.80535251798557</v>
      </c>
      <c r="AI25" s="302">
        <f t="shared" si="26"/>
        <v>100.80535251798557</v>
      </c>
      <c r="AJ25" s="302">
        <f t="shared" si="26"/>
        <v>100.80535251798557</v>
      </c>
      <c r="AK25" s="302">
        <f t="shared" si="26"/>
        <v>100.80535251798557</v>
      </c>
      <c r="AL25" s="302">
        <f t="shared" si="26"/>
        <v>100.80535251798557</v>
      </c>
      <c r="AM25" s="302">
        <f t="shared" si="26"/>
        <v>100.80535251798557</v>
      </c>
      <c r="AN25" s="302">
        <f t="shared" si="26"/>
        <v>100.80535251798557</v>
      </c>
      <c r="AO25" s="302">
        <f t="shared" si="26"/>
        <v>100.80535251798557</v>
      </c>
      <c r="AP25" s="302">
        <f t="shared" si="26"/>
        <v>100.80535251798557</v>
      </c>
      <c r="AQ25" s="302">
        <f t="shared" si="26"/>
        <v>100.80535251798557</v>
      </c>
      <c r="AR25" s="302">
        <f t="shared" si="26"/>
        <v>100.80535251798557</v>
      </c>
      <c r="AS25" s="302">
        <f t="shared" si="26"/>
        <v>100.80535251798557</v>
      </c>
      <c r="AT25" s="302">
        <f t="shared" si="26"/>
        <v>100.80535251798557</v>
      </c>
      <c r="AU25" s="302">
        <f t="shared" si="26"/>
        <v>100.80535251798557</v>
      </c>
      <c r="AV25" s="302">
        <f t="shared" si="26"/>
        <v>100.80535251798557</v>
      </c>
      <c r="AW25" s="302">
        <f t="shared" ref="AW25:BL25" si="27">AU25</f>
        <v>100.80535251798557</v>
      </c>
      <c r="AX25" s="302">
        <f t="shared" si="27"/>
        <v>100.80535251798557</v>
      </c>
      <c r="AY25" s="302">
        <f t="shared" si="27"/>
        <v>100.80535251798557</v>
      </c>
      <c r="AZ25" s="302">
        <f t="shared" si="27"/>
        <v>100.80535251798557</v>
      </c>
      <c r="BA25" s="302">
        <f t="shared" si="27"/>
        <v>100.80535251798557</v>
      </c>
      <c r="BB25" s="302">
        <f t="shared" si="27"/>
        <v>100.80535251798557</v>
      </c>
      <c r="BC25" s="302">
        <f t="shared" si="27"/>
        <v>100.80535251798557</v>
      </c>
      <c r="BD25" s="302">
        <f t="shared" si="27"/>
        <v>100.80535251798557</v>
      </c>
      <c r="BE25" s="302">
        <f t="shared" si="27"/>
        <v>100.80535251798557</v>
      </c>
      <c r="BF25" s="302">
        <f t="shared" si="27"/>
        <v>100.80535251798557</v>
      </c>
      <c r="BG25" s="302">
        <f t="shared" si="27"/>
        <v>100.80535251798557</v>
      </c>
      <c r="BH25" s="302">
        <f t="shared" si="27"/>
        <v>100.80535251798557</v>
      </c>
      <c r="BI25" s="302">
        <f t="shared" si="27"/>
        <v>100.80535251798557</v>
      </c>
      <c r="BJ25" s="302">
        <f t="shared" si="27"/>
        <v>100.80535251798557</v>
      </c>
      <c r="BK25" s="302">
        <f t="shared" si="27"/>
        <v>100.80535251798557</v>
      </c>
      <c r="BL25" s="302">
        <f t="shared" si="27"/>
        <v>100.80535251798557</v>
      </c>
      <c r="BM25" s="302">
        <f t="shared" ref="BM25:BU25" si="28">BK25</f>
        <v>100.80535251798557</v>
      </c>
      <c r="BN25" s="302">
        <f t="shared" si="28"/>
        <v>100.80535251798557</v>
      </c>
      <c r="BO25" s="302">
        <f t="shared" si="28"/>
        <v>100.80535251798557</v>
      </c>
      <c r="BP25" s="302">
        <f t="shared" si="28"/>
        <v>100.80535251798557</v>
      </c>
      <c r="BQ25" s="302">
        <f t="shared" si="28"/>
        <v>100.80535251798557</v>
      </c>
      <c r="BR25" s="302">
        <f t="shared" si="28"/>
        <v>100.80535251798557</v>
      </c>
      <c r="BS25" s="302">
        <f t="shared" si="28"/>
        <v>100.80535251798557</v>
      </c>
      <c r="BT25" s="302">
        <f t="shared" si="28"/>
        <v>100.80535251798557</v>
      </c>
      <c r="BU25" s="302">
        <f t="shared" si="28"/>
        <v>100.80535251798557</v>
      </c>
      <c r="BV25" s="302">
        <f t="shared" ref="BV25:CJ25" si="29">BT25</f>
        <v>100.80535251798557</v>
      </c>
      <c r="BW25" s="302">
        <f t="shared" si="29"/>
        <v>100.80535251798557</v>
      </c>
      <c r="BX25" s="302">
        <f t="shared" si="29"/>
        <v>100.80535251798557</v>
      </c>
      <c r="BY25" s="302">
        <f t="shared" si="29"/>
        <v>100.80535251798557</v>
      </c>
      <c r="BZ25" s="302">
        <f t="shared" si="29"/>
        <v>100.80535251798557</v>
      </c>
      <c r="CA25" s="302">
        <f t="shared" si="29"/>
        <v>100.80535251798557</v>
      </c>
      <c r="CB25" s="302">
        <f t="shared" si="29"/>
        <v>100.80535251798557</v>
      </c>
      <c r="CC25" s="302">
        <f t="shared" si="29"/>
        <v>100.80535251798557</v>
      </c>
      <c r="CD25" s="302">
        <f t="shared" si="29"/>
        <v>100.80535251798557</v>
      </c>
      <c r="CE25" s="302">
        <f t="shared" si="29"/>
        <v>100.80535251798557</v>
      </c>
      <c r="CF25" s="302">
        <f t="shared" si="29"/>
        <v>100.80535251798557</v>
      </c>
      <c r="CG25" s="302">
        <f t="shared" si="29"/>
        <v>100.80535251798557</v>
      </c>
      <c r="CH25" s="302">
        <f t="shared" si="29"/>
        <v>100.80535251798557</v>
      </c>
      <c r="CI25" s="302">
        <f t="shared" si="29"/>
        <v>100.80535251798557</v>
      </c>
      <c r="CJ25" s="302">
        <f t="shared" si="29"/>
        <v>100.80535251798557</v>
      </c>
      <c r="CK25" s="302"/>
      <c r="CL25" s="302"/>
      <c r="CM25" s="302"/>
      <c r="CN25" s="302"/>
      <c r="CO25" s="302"/>
      <c r="CP25" s="302"/>
      <c r="CQ25" s="296"/>
    </row>
    <row r="26" spans="1:98" hidden="1" x14ac:dyDescent="0.25">
      <c r="A26" s="397" t="s">
        <v>296</v>
      </c>
      <c r="B26" s="397" t="s">
        <v>297</v>
      </c>
      <c r="C26" s="397">
        <v>10572</v>
      </c>
      <c r="D26" s="398">
        <v>75320</v>
      </c>
      <c r="E26" s="397" t="s">
        <v>319</v>
      </c>
      <c r="F26" s="397" t="s">
        <v>320</v>
      </c>
      <c r="G26" s="317">
        <v>2052</v>
      </c>
      <c r="H26" s="317">
        <f t="shared" si="6"/>
        <v>2462.4</v>
      </c>
      <c r="I26" s="302">
        <f t="shared" si="0"/>
        <v>100.38561151079148</v>
      </c>
      <c r="J26" s="302">
        <f t="shared" si="4"/>
        <v>22.084834532374124</v>
      </c>
      <c r="K26" s="302">
        <f t="shared" si="5"/>
        <v>122.47044604316559</v>
      </c>
      <c r="L26" s="302">
        <f t="shared" si="19"/>
        <v>122.47044604316559</v>
      </c>
      <c r="M26" s="302">
        <f t="shared" si="20"/>
        <v>122.47044604316559</v>
      </c>
      <c r="N26" s="302">
        <f t="shared" si="21"/>
        <v>122.47044604316559</v>
      </c>
      <c r="O26" s="302">
        <f t="shared" si="22"/>
        <v>122.47044604316559</v>
      </c>
      <c r="P26" s="302">
        <f t="shared" si="23"/>
        <v>122.47044604316559</v>
      </c>
      <c r="Q26" s="302">
        <f t="shared" si="23"/>
        <v>122.47044604316559</v>
      </c>
      <c r="R26" s="302">
        <f t="shared" si="23"/>
        <v>122.47044604316559</v>
      </c>
      <c r="S26" s="302">
        <f t="shared" si="23"/>
        <v>122.47044604316559</v>
      </c>
      <c r="T26" s="302">
        <f t="shared" si="23"/>
        <v>122.47044604316559</v>
      </c>
      <c r="U26" s="302">
        <f t="shared" si="23"/>
        <v>122.47044604316559</v>
      </c>
      <c r="V26" s="302">
        <f t="shared" si="23"/>
        <v>122.47044604316559</v>
      </c>
      <c r="W26" s="302">
        <f t="shared" si="23"/>
        <v>122.47044604316559</v>
      </c>
      <c r="X26" s="302">
        <f t="shared" si="23"/>
        <v>122.47044604316559</v>
      </c>
      <c r="Y26" s="302">
        <f t="shared" si="23"/>
        <v>122.47044604316559</v>
      </c>
      <c r="Z26" s="302">
        <f t="shared" si="23"/>
        <v>122.47044604316559</v>
      </c>
      <c r="AA26" s="302">
        <f t="shared" si="23"/>
        <v>122.47044604316559</v>
      </c>
      <c r="AB26" s="302">
        <f t="shared" si="23"/>
        <v>122.47044604316559</v>
      </c>
      <c r="AC26" s="303">
        <f>($CR26/AC$2)*$K26</f>
        <v>86.91451009514978</v>
      </c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4">
        <v>43181</v>
      </c>
      <c r="CR26" s="295">
        <v>22</v>
      </c>
    </row>
    <row r="27" spans="1:98" x14ac:dyDescent="0.25">
      <c r="A27" s="395" t="s">
        <v>296</v>
      </c>
      <c r="B27" s="395" t="s">
        <v>297</v>
      </c>
      <c r="C27" s="395">
        <v>10572</v>
      </c>
      <c r="D27" s="396"/>
      <c r="E27" s="796" t="s">
        <v>429</v>
      </c>
      <c r="F27" s="796" t="s">
        <v>399</v>
      </c>
      <c r="G27" s="301">
        <v>1880</v>
      </c>
      <c r="H27" s="301">
        <f t="shared" si="6"/>
        <v>2256</v>
      </c>
      <c r="I27" s="302">
        <f>H27-(H27/1.0425)</f>
        <v>91.971223021582773</v>
      </c>
      <c r="J27" s="302">
        <f t="shared" si="4"/>
        <v>20.233669064748209</v>
      </c>
      <c r="K27" s="302">
        <f t="shared" si="5"/>
        <v>112.20489208633099</v>
      </c>
      <c r="L27" s="302">
        <f t="shared" si="19"/>
        <v>112.20489208633099</v>
      </c>
      <c r="M27" s="302">
        <f t="shared" si="20"/>
        <v>112.20489208633099</v>
      </c>
      <c r="N27" s="302">
        <f t="shared" si="21"/>
        <v>112.20489208633099</v>
      </c>
      <c r="O27" s="302">
        <f t="shared" si="22"/>
        <v>112.20489208633099</v>
      </c>
      <c r="P27" s="302">
        <f t="shared" si="23"/>
        <v>112.20489208633099</v>
      </c>
      <c r="Q27" s="302">
        <f t="shared" si="23"/>
        <v>112.20489208633099</v>
      </c>
      <c r="R27" s="302">
        <f t="shared" si="23"/>
        <v>112.20489208633099</v>
      </c>
      <c r="S27" s="302">
        <f t="shared" si="23"/>
        <v>112.20489208633099</v>
      </c>
      <c r="T27" s="302">
        <f t="shared" si="23"/>
        <v>112.20489208633099</v>
      </c>
      <c r="U27" s="302">
        <f t="shared" si="23"/>
        <v>112.20489208633099</v>
      </c>
      <c r="V27" s="302">
        <f t="shared" si="23"/>
        <v>112.20489208633099</v>
      </c>
      <c r="W27" s="302">
        <f t="shared" si="23"/>
        <v>112.20489208633099</v>
      </c>
      <c r="X27" s="302">
        <f t="shared" si="23"/>
        <v>112.20489208633099</v>
      </c>
      <c r="Y27" s="302">
        <f t="shared" si="23"/>
        <v>112.20489208633099</v>
      </c>
      <c r="Z27" s="302">
        <f t="shared" si="23"/>
        <v>112.20489208633099</v>
      </c>
      <c r="AA27" s="302">
        <f t="shared" si="23"/>
        <v>112.20489208633099</v>
      </c>
      <c r="AB27" s="302">
        <f t="shared" si="23"/>
        <v>112.20489208633099</v>
      </c>
      <c r="AC27" s="302">
        <f t="shared" si="23"/>
        <v>112.20489208633099</v>
      </c>
      <c r="AD27" s="302">
        <f t="shared" si="23"/>
        <v>112.20489208633099</v>
      </c>
      <c r="AE27" s="302">
        <f t="shared" si="23"/>
        <v>112.20489208633099</v>
      </c>
      <c r="AF27" s="302">
        <f t="shared" si="23"/>
        <v>112.20489208633099</v>
      </c>
      <c r="AG27" s="302">
        <f t="shared" ref="AG27:AV28" si="30">AE27</f>
        <v>112.20489208633099</v>
      </c>
      <c r="AH27" s="302">
        <f t="shared" si="30"/>
        <v>112.20489208633099</v>
      </c>
      <c r="AI27" s="302">
        <f t="shared" si="30"/>
        <v>112.20489208633099</v>
      </c>
      <c r="AJ27" s="302">
        <f t="shared" si="30"/>
        <v>112.20489208633099</v>
      </c>
      <c r="AK27" s="302">
        <f t="shared" si="30"/>
        <v>112.20489208633099</v>
      </c>
      <c r="AL27" s="302">
        <f t="shared" si="30"/>
        <v>112.20489208633099</v>
      </c>
      <c r="AM27" s="302">
        <f t="shared" si="30"/>
        <v>112.20489208633099</v>
      </c>
      <c r="AN27" s="302">
        <f t="shared" si="30"/>
        <v>112.20489208633099</v>
      </c>
      <c r="AO27" s="302">
        <f t="shared" si="30"/>
        <v>112.20489208633099</v>
      </c>
      <c r="AP27" s="302">
        <f t="shared" si="30"/>
        <v>112.20489208633099</v>
      </c>
      <c r="AQ27" s="302">
        <f t="shared" si="30"/>
        <v>112.20489208633099</v>
      </c>
      <c r="AR27" s="302">
        <f t="shared" si="30"/>
        <v>112.20489208633099</v>
      </c>
      <c r="AS27" s="302">
        <f t="shared" si="30"/>
        <v>112.20489208633099</v>
      </c>
      <c r="AT27" s="302">
        <f t="shared" si="30"/>
        <v>112.20489208633099</v>
      </c>
      <c r="AU27" s="302">
        <f t="shared" si="30"/>
        <v>112.20489208633099</v>
      </c>
      <c r="AV27" s="302">
        <f t="shared" si="30"/>
        <v>112.20489208633099</v>
      </c>
      <c r="AW27" s="302">
        <f t="shared" ref="AW27:CJ28" si="31">AU27</f>
        <v>112.20489208633099</v>
      </c>
      <c r="AX27" s="302">
        <f t="shared" si="31"/>
        <v>112.20489208633099</v>
      </c>
      <c r="AY27" s="302">
        <f t="shared" si="31"/>
        <v>112.20489208633099</v>
      </c>
      <c r="AZ27" s="302">
        <f t="shared" si="31"/>
        <v>112.20489208633099</v>
      </c>
      <c r="BA27" s="302">
        <f t="shared" si="31"/>
        <v>112.20489208633099</v>
      </c>
      <c r="BB27" s="302">
        <f t="shared" si="31"/>
        <v>112.20489208633099</v>
      </c>
      <c r="BC27" s="302">
        <f t="shared" si="31"/>
        <v>112.20489208633099</v>
      </c>
      <c r="BD27" s="302">
        <f t="shared" si="31"/>
        <v>112.20489208633099</v>
      </c>
      <c r="BE27" s="302">
        <f t="shared" si="31"/>
        <v>112.20489208633099</v>
      </c>
      <c r="BF27" s="302">
        <f t="shared" si="31"/>
        <v>112.20489208633099</v>
      </c>
      <c r="BG27" s="302">
        <f t="shared" si="31"/>
        <v>112.20489208633099</v>
      </c>
      <c r="BH27" s="302">
        <f t="shared" si="31"/>
        <v>112.20489208633099</v>
      </c>
      <c r="BI27" s="302">
        <f t="shared" si="31"/>
        <v>112.20489208633099</v>
      </c>
      <c r="BJ27" s="302">
        <f t="shared" si="31"/>
        <v>112.20489208633099</v>
      </c>
      <c r="BK27" s="302">
        <f t="shared" si="31"/>
        <v>112.20489208633099</v>
      </c>
      <c r="BL27" s="302">
        <f t="shared" si="31"/>
        <v>112.20489208633099</v>
      </c>
      <c r="BM27" s="302">
        <f t="shared" si="31"/>
        <v>112.20489208633099</v>
      </c>
      <c r="BN27" s="302">
        <f t="shared" si="31"/>
        <v>112.20489208633099</v>
      </c>
      <c r="BO27" s="302">
        <f t="shared" si="31"/>
        <v>112.20489208633099</v>
      </c>
      <c r="BP27" s="302">
        <f t="shared" si="31"/>
        <v>112.20489208633099</v>
      </c>
      <c r="BQ27" s="302">
        <f t="shared" si="31"/>
        <v>112.20489208633099</v>
      </c>
      <c r="BR27" s="302">
        <f t="shared" si="31"/>
        <v>112.20489208633099</v>
      </c>
      <c r="BS27" s="302">
        <f t="shared" si="31"/>
        <v>112.20489208633099</v>
      </c>
      <c r="BT27" s="302">
        <f t="shared" si="31"/>
        <v>112.20489208633099</v>
      </c>
      <c r="BU27" s="302">
        <f t="shared" si="31"/>
        <v>112.20489208633099</v>
      </c>
      <c r="BV27" s="302">
        <f t="shared" si="31"/>
        <v>112.20489208633099</v>
      </c>
      <c r="BW27" s="302">
        <f t="shared" si="31"/>
        <v>112.20489208633099</v>
      </c>
      <c r="BX27" s="302">
        <f t="shared" si="31"/>
        <v>112.20489208633099</v>
      </c>
      <c r="BY27" s="302">
        <f t="shared" si="31"/>
        <v>112.20489208633099</v>
      </c>
      <c r="BZ27" s="302">
        <f t="shared" si="31"/>
        <v>112.20489208633099</v>
      </c>
      <c r="CA27" s="302">
        <f t="shared" si="31"/>
        <v>112.20489208633099</v>
      </c>
      <c r="CB27" s="302">
        <f t="shared" si="31"/>
        <v>112.20489208633099</v>
      </c>
      <c r="CC27" s="302">
        <f t="shared" si="31"/>
        <v>112.20489208633099</v>
      </c>
      <c r="CD27" s="302">
        <f t="shared" si="31"/>
        <v>112.20489208633099</v>
      </c>
      <c r="CE27" s="302">
        <f t="shared" si="31"/>
        <v>112.20489208633099</v>
      </c>
      <c r="CF27" s="302">
        <f t="shared" si="31"/>
        <v>112.20489208633099</v>
      </c>
      <c r="CG27" s="302">
        <f t="shared" si="31"/>
        <v>112.20489208633099</v>
      </c>
      <c r="CH27" s="302">
        <f t="shared" si="31"/>
        <v>112.20489208633099</v>
      </c>
      <c r="CI27" s="302">
        <f t="shared" si="31"/>
        <v>112.20489208633099</v>
      </c>
      <c r="CJ27" s="302">
        <f t="shared" si="31"/>
        <v>112.20489208633099</v>
      </c>
      <c r="CK27" s="302">
        <v>112.2</v>
      </c>
      <c r="CL27" s="302">
        <v>112.2</v>
      </c>
      <c r="CM27" s="302">
        <v>112.2</v>
      </c>
      <c r="CN27" s="302">
        <v>112.2</v>
      </c>
      <c r="CO27" s="302">
        <v>112.2</v>
      </c>
      <c r="CP27" s="302">
        <v>112.2</v>
      </c>
    </row>
    <row r="28" spans="1:98" hidden="1" x14ac:dyDescent="0.25">
      <c r="A28" s="395" t="s">
        <v>321</v>
      </c>
      <c r="B28" s="395" t="s">
        <v>322</v>
      </c>
      <c r="C28" s="395">
        <v>10564</v>
      </c>
      <c r="D28" s="400">
        <v>15098</v>
      </c>
      <c r="E28" s="797" t="s">
        <v>323</v>
      </c>
      <c r="F28" s="395" t="s">
        <v>324</v>
      </c>
      <c r="G28" s="301">
        <v>2558</v>
      </c>
      <c r="H28" s="301">
        <f t="shared" si="6"/>
        <v>3069.6</v>
      </c>
      <c r="I28" s="302">
        <f t="shared" si="0"/>
        <v>125.13956834532382</v>
      </c>
      <c r="J28" s="302">
        <f t="shared" si="4"/>
        <v>27.530705035971241</v>
      </c>
      <c r="K28" s="302">
        <f t="shared" si="5"/>
        <v>152.67027338129506</v>
      </c>
      <c r="L28" s="302">
        <f t="shared" si="19"/>
        <v>152.67027338129506</v>
      </c>
      <c r="M28" s="302">
        <f t="shared" si="20"/>
        <v>152.67027338129506</v>
      </c>
      <c r="N28" s="302">
        <f t="shared" si="21"/>
        <v>152.67027338129506</v>
      </c>
      <c r="O28" s="302">
        <f t="shared" si="22"/>
        <v>152.67027338129506</v>
      </c>
      <c r="P28" s="302">
        <f t="shared" si="23"/>
        <v>152.67027338129506</v>
      </c>
      <c r="Q28" s="302">
        <f t="shared" si="23"/>
        <v>152.67027338129506</v>
      </c>
      <c r="R28" s="302">
        <f t="shared" si="23"/>
        <v>152.67027338129506</v>
      </c>
      <c r="S28" s="302">
        <f t="shared" si="23"/>
        <v>152.67027338129506</v>
      </c>
      <c r="T28" s="302">
        <f t="shared" si="23"/>
        <v>152.67027338129506</v>
      </c>
      <c r="U28" s="302">
        <f t="shared" si="23"/>
        <v>152.67027338129506</v>
      </c>
      <c r="V28" s="302">
        <f t="shared" si="23"/>
        <v>152.67027338129506</v>
      </c>
      <c r="W28" s="302">
        <f t="shared" si="23"/>
        <v>152.67027338129506</v>
      </c>
      <c r="X28" s="302">
        <f t="shared" si="23"/>
        <v>152.67027338129506</v>
      </c>
      <c r="Y28" s="302">
        <f t="shared" si="23"/>
        <v>152.67027338129506</v>
      </c>
      <c r="Z28" s="302">
        <f t="shared" si="23"/>
        <v>152.67027338129506</v>
      </c>
      <c r="AA28" s="302">
        <f t="shared" si="23"/>
        <v>152.67027338129506</v>
      </c>
      <c r="AB28" s="302">
        <f t="shared" si="23"/>
        <v>152.67027338129506</v>
      </c>
      <c r="AC28" s="302">
        <f t="shared" si="23"/>
        <v>152.67027338129506</v>
      </c>
      <c r="AD28" s="302">
        <f t="shared" si="23"/>
        <v>152.67027338129506</v>
      </c>
      <c r="AE28" s="302">
        <f t="shared" si="23"/>
        <v>152.67027338129506</v>
      </c>
      <c r="AF28" s="302">
        <f t="shared" si="23"/>
        <v>152.67027338129506</v>
      </c>
      <c r="AG28" s="302">
        <f t="shared" si="30"/>
        <v>152.67027338129506</v>
      </c>
      <c r="AH28" s="302">
        <f t="shared" si="30"/>
        <v>152.67027338129506</v>
      </c>
      <c r="AI28" s="302">
        <f t="shared" si="30"/>
        <v>152.67027338129506</v>
      </c>
      <c r="AJ28" s="302">
        <f t="shared" si="30"/>
        <v>152.67027338129506</v>
      </c>
      <c r="AK28" s="302">
        <f t="shared" si="30"/>
        <v>152.67027338129506</v>
      </c>
      <c r="AL28" s="302">
        <f t="shared" si="30"/>
        <v>152.67027338129506</v>
      </c>
      <c r="AM28" s="302">
        <f t="shared" si="30"/>
        <v>152.67027338129506</v>
      </c>
      <c r="AN28" s="302">
        <f t="shared" si="30"/>
        <v>152.67027338129506</v>
      </c>
      <c r="AO28" s="302">
        <f t="shared" si="30"/>
        <v>152.67027338129506</v>
      </c>
      <c r="AP28" s="302">
        <f t="shared" si="30"/>
        <v>152.67027338129506</v>
      </c>
      <c r="AQ28" s="302">
        <f t="shared" si="30"/>
        <v>152.67027338129506</v>
      </c>
      <c r="AR28" s="302">
        <f t="shared" si="30"/>
        <v>152.67027338129506</v>
      </c>
      <c r="AS28" s="302">
        <f t="shared" si="30"/>
        <v>152.67027338129506</v>
      </c>
      <c r="AT28" s="302">
        <f t="shared" si="30"/>
        <v>152.67027338129506</v>
      </c>
      <c r="AU28" s="302">
        <f t="shared" si="30"/>
        <v>152.67027338129506</v>
      </c>
      <c r="AV28" s="302">
        <f t="shared" si="30"/>
        <v>152.67027338129506</v>
      </c>
      <c r="AW28" s="302">
        <f t="shared" si="31"/>
        <v>152.67027338129506</v>
      </c>
      <c r="AX28" s="302">
        <f t="shared" si="31"/>
        <v>152.67027338129506</v>
      </c>
      <c r="AY28" s="302">
        <f t="shared" si="31"/>
        <v>152.67027338129506</v>
      </c>
      <c r="AZ28" s="302">
        <f t="shared" si="31"/>
        <v>152.67027338129506</v>
      </c>
      <c r="BA28" s="302">
        <f t="shared" si="31"/>
        <v>152.67027338129506</v>
      </c>
      <c r="BB28" s="302">
        <f t="shared" si="31"/>
        <v>152.67027338129506</v>
      </c>
      <c r="BC28" s="302">
        <f t="shared" si="31"/>
        <v>152.67027338129506</v>
      </c>
      <c r="BD28" s="302">
        <f t="shared" si="31"/>
        <v>152.67027338129506</v>
      </c>
      <c r="BE28" s="302">
        <f t="shared" si="31"/>
        <v>152.67027338129506</v>
      </c>
      <c r="BF28" s="302">
        <f t="shared" si="31"/>
        <v>152.67027338129506</v>
      </c>
      <c r="BG28" s="302">
        <f t="shared" si="31"/>
        <v>152.67027338129506</v>
      </c>
      <c r="BH28" s="302">
        <f t="shared" si="31"/>
        <v>152.67027338129506</v>
      </c>
      <c r="BI28" s="302">
        <f t="shared" si="31"/>
        <v>152.67027338129506</v>
      </c>
      <c r="BJ28" s="302">
        <f t="shared" si="31"/>
        <v>152.67027338129506</v>
      </c>
      <c r="BK28" s="302">
        <f t="shared" si="31"/>
        <v>152.67027338129506</v>
      </c>
      <c r="BL28" s="302">
        <f t="shared" si="31"/>
        <v>152.67027338129506</v>
      </c>
      <c r="BM28" s="302">
        <f t="shared" si="31"/>
        <v>152.67027338129506</v>
      </c>
      <c r="BN28" s="302">
        <f t="shared" si="31"/>
        <v>152.67027338129506</v>
      </c>
      <c r="BO28" s="302">
        <f t="shared" si="31"/>
        <v>152.67027338129506</v>
      </c>
      <c r="BP28" s="302">
        <f t="shared" si="31"/>
        <v>152.67027338129506</v>
      </c>
      <c r="BQ28" s="302">
        <f t="shared" si="31"/>
        <v>152.67027338129506</v>
      </c>
      <c r="BR28" s="302">
        <f t="shared" si="31"/>
        <v>152.67027338129506</v>
      </c>
      <c r="BS28" s="302">
        <f t="shared" si="31"/>
        <v>152.67027338129506</v>
      </c>
      <c r="BT28" s="302">
        <f t="shared" si="31"/>
        <v>152.67027338129506</v>
      </c>
      <c r="BU28" s="302">
        <f t="shared" si="31"/>
        <v>152.67027338129506</v>
      </c>
      <c r="BV28" s="302">
        <f t="shared" si="31"/>
        <v>152.67027338129506</v>
      </c>
      <c r="BW28" s="302">
        <f t="shared" si="31"/>
        <v>152.67027338129506</v>
      </c>
      <c r="BX28" s="302">
        <f t="shared" si="31"/>
        <v>152.67027338129506</v>
      </c>
      <c r="BY28" s="302">
        <f t="shared" si="31"/>
        <v>152.67027338129506</v>
      </c>
      <c r="BZ28" s="302">
        <f t="shared" si="31"/>
        <v>152.67027338129506</v>
      </c>
      <c r="CA28" s="302">
        <f t="shared" si="31"/>
        <v>152.67027338129506</v>
      </c>
      <c r="CB28" s="302">
        <f t="shared" si="31"/>
        <v>152.67027338129506</v>
      </c>
      <c r="CC28" s="302">
        <f t="shared" si="31"/>
        <v>152.67027338129506</v>
      </c>
      <c r="CD28" s="302">
        <f t="shared" si="31"/>
        <v>152.67027338129506</v>
      </c>
      <c r="CE28" s="302">
        <f t="shared" si="31"/>
        <v>152.67027338129506</v>
      </c>
      <c r="CF28" s="302">
        <f t="shared" si="31"/>
        <v>152.67027338129506</v>
      </c>
      <c r="CG28" s="302">
        <f t="shared" si="31"/>
        <v>152.67027338129506</v>
      </c>
      <c r="CH28" s="302">
        <f t="shared" si="31"/>
        <v>152.67027338129506</v>
      </c>
      <c r="CI28" s="302">
        <f t="shared" si="31"/>
        <v>152.67027338129506</v>
      </c>
      <c r="CJ28" s="302">
        <f t="shared" si="31"/>
        <v>152.67027338129506</v>
      </c>
      <c r="CK28" s="302"/>
      <c r="CL28" s="302"/>
      <c r="CM28" s="302"/>
      <c r="CN28" s="302"/>
      <c r="CO28" s="302"/>
      <c r="CP28" s="302"/>
      <c r="CQ28" s="296"/>
    </row>
    <row r="29" spans="1:98" hidden="1" x14ac:dyDescent="0.25">
      <c r="A29" s="397" t="s">
        <v>325</v>
      </c>
      <c r="B29" s="397" t="s">
        <v>326</v>
      </c>
      <c r="C29" s="397">
        <v>10573</v>
      </c>
      <c r="D29" s="398">
        <v>100139</v>
      </c>
      <c r="E29" s="397" t="s">
        <v>327</v>
      </c>
      <c r="F29" s="397" t="s">
        <v>328</v>
      </c>
      <c r="G29" s="317">
        <v>1689</v>
      </c>
      <c r="H29" s="317">
        <f t="shared" si="6"/>
        <v>2026.8</v>
      </c>
      <c r="I29" s="302">
        <f t="shared" si="0"/>
        <v>82.627338129496366</v>
      </c>
      <c r="J29" s="302">
        <f t="shared" si="4"/>
        <v>18.178014388489199</v>
      </c>
      <c r="K29" s="302">
        <f t="shared" si="5"/>
        <v>100.80535251798557</v>
      </c>
      <c r="L29" s="302">
        <f t="shared" si="19"/>
        <v>100.80535251798557</v>
      </c>
      <c r="M29" s="302">
        <f t="shared" si="20"/>
        <v>100.80535251798557</v>
      </c>
      <c r="N29" s="302">
        <f t="shared" si="21"/>
        <v>100.80535251798557</v>
      </c>
      <c r="O29" s="302">
        <f t="shared" si="22"/>
        <v>100.80535251798557</v>
      </c>
      <c r="P29" s="302">
        <f t="shared" si="23"/>
        <v>100.80535251798557</v>
      </c>
      <c r="Q29" s="302">
        <f t="shared" si="23"/>
        <v>100.80535251798557</v>
      </c>
      <c r="R29" s="303">
        <f>($CR29/R$2)*$K29</f>
        <v>63.843389928057526</v>
      </c>
      <c r="S29" s="302"/>
      <c r="T29" s="303">
        <f>($CS29/T$2)*$K29</f>
        <v>40.322141007194233</v>
      </c>
      <c r="U29" s="302">
        <f>($CT29/U$2)*$K29</f>
        <v>9.7553566952889259</v>
      </c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18" t="s">
        <v>431</v>
      </c>
      <c r="CR29" s="295">
        <v>19</v>
      </c>
      <c r="CS29" s="295">
        <v>12</v>
      </c>
      <c r="CT29" s="295">
        <v>3</v>
      </c>
    </row>
    <row r="30" spans="1:98" hidden="1" x14ac:dyDescent="0.25">
      <c r="A30" s="397" t="s">
        <v>325</v>
      </c>
      <c r="B30" s="397" t="s">
        <v>329</v>
      </c>
      <c r="C30" s="397">
        <v>10573</v>
      </c>
      <c r="D30" s="398">
        <v>103454</v>
      </c>
      <c r="E30" s="397" t="s">
        <v>330</v>
      </c>
      <c r="F30" s="397" t="s">
        <v>331</v>
      </c>
      <c r="G30" s="317">
        <v>1689</v>
      </c>
      <c r="H30" s="317">
        <f t="shared" si="6"/>
        <v>2026.8</v>
      </c>
      <c r="I30" s="302">
        <f t="shared" si="0"/>
        <v>82.627338129496366</v>
      </c>
      <c r="J30" s="302">
        <f t="shared" si="4"/>
        <v>18.178014388489199</v>
      </c>
      <c r="K30" s="302">
        <f t="shared" si="5"/>
        <v>100.80535251798557</v>
      </c>
      <c r="L30" s="302">
        <f t="shared" si="19"/>
        <v>100.80535251798557</v>
      </c>
      <c r="M30" s="302">
        <f t="shared" si="20"/>
        <v>100.80535251798557</v>
      </c>
      <c r="N30" s="302">
        <f t="shared" si="21"/>
        <v>100.80535251798557</v>
      </c>
      <c r="O30" s="302">
        <f t="shared" si="22"/>
        <v>100.80535251798557</v>
      </c>
      <c r="P30" s="302">
        <f t="shared" si="23"/>
        <v>100.80535251798557</v>
      </c>
      <c r="Q30" s="302">
        <f t="shared" si="23"/>
        <v>100.80535251798557</v>
      </c>
      <c r="R30" s="302">
        <f t="shared" si="23"/>
        <v>100.80535251798557</v>
      </c>
      <c r="S30" s="303">
        <f>($CR30/S$2)*$K30</f>
        <v>78.042853562311407</v>
      </c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4">
        <v>42879</v>
      </c>
      <c r="CR30" s="295">
        <v>24</v>
      </c>
    </row>
    <row r="31" spans="1:98" hidden="1" x14ac:dyDescent="0.25">
      <c r="A31" s="395" t="s">
        <v>325</v>
      </c>
      <c r="B31" s="395" t="s">
        <v>329</v>
      </c>
      <c r="C31" s="395">
        <v>10573</v>
      </c>
      <c r="D31" s="396">
        <v>103482</v>
      </c>
      <c r="E31" s="796" t="s">
        <v>330</v>
      </c>
      <c r="F31" s="395" t="s">
        <v>332</v>
      </c>
      <c r="G31" s="301">
        <v>2223</v>
      </c>
      <c r="H31" s="301">
        <f t="shared" si="6"/>
        <v>2667.6</v>
      </c>
      <c r="I31" s="302">
        <f t="shared" si="0"/>
        <v>108.75107913669081</v>
      </c>
      <c r="J31" s="302">
        <f t="shared" si="4"/>
        <v>23.925237410071976</v>
      </c>
      <c r="K31" s="302">
        <f t="shared" si="5"/>
        <v>132.67631654676279</v>
      </c>
      <c r="L31" s="302">
        <f t="shared" si="19"/>
        <v>132.67631654676279</v>
      </c>
      <c r="M31" s="302">
        <f t="shared" si="20"/>
        <v>132.67631654676279</v>
      </c>
      <c r="N31" s="302">
        <f t="shared" si="21"/>
        <v>132.67631654676279</v>
      </c>
      <c r="O31" s="302">
        <f t="shared" si="22"/>
        <v>132.67631654676279</v>
      </c>
      <c r="P31" s="302">
        <f t="shared" si="23"/>
        <v>132.67631654676279</v>
      </c>
      <c r="Q31" s="302">
        <f t="shared" si="23"/>
        <v>132.67631654676279</v>
      </c>
      <c r="R31" s="302">
        <f t="shared" si="23"/>
        <v>132.67631654676279</v>
      </c>
      <c r="S31" s="302">
        <f t="shared" si="23"/>
        <v>132.67631654676279</v>
      </c>
      <c r="T31" s="302">
        <f t="shared" si="23"/>
        <v>132.67631654676279</v>
      </c>
      <c r="U31" s="302">
        <f t="shared" si="23"/>
        <v>132.67631654676279</v>
      </c>
      <c r="V31" s="302">
        <f t="shared" si="23"/>
        <v>132.67631654676279</v>
      </c>
      <c r="W31" s="302">
        <f t="shared" si="23"/>
        <v>132.67631654676279</v>
      </c>
      <c r="X31" s="302">
        <f t="shared" si="23"/>
        <v>132.67631654676279</v>
      </c>
      <c r="Y31" s="302">
        <f t="shared" si="23"/>
        <v>132.67631654676279</v>
      </c>
      <c r="Z31" s="302">
        <f t="shared" si="23"/>
        <v>132.67631654676279</v>
      </c>
      <c r="AA31" s="302">
        <f t="shared" si="23"/>
        <v>132.67631654676279</v>
      </c>
      <c r="AB31" s="302">
        <f t="shared" si="23"/>
        <v>132.67631654676279</v>
      </c>
      <c r="AC31" s="302">
        <f t="shared" si="23"/>
        <v>132.67631654676279</v>
      </c>
      <c r="AD31" s="302">
        <f t="shared" si="23"/>
        <v>132.67631654676279</v>
      </c>
      <c r="AE31" s="302">
        <f t="shared" si="23"/>
        <v>132.67631654676279</v>
      </c>
      <c r="AF31" s="302">
        <f t="shared" si="23"/>
        <v>132.67631654676279</v>
      </c>
      <c r="AG31" s="302">
        <f t="shared" ref="AG31:AV31" si="32">AE31</f>
        <v>132.67631654676279</v>
      </c>
      <c r="AH31" s="302">
        <f t="shared" si="32"/>
        <v>132.67631654676279</v>
      </c>
      <c r="AI31" s="302">
        <f t="shared" si="32"/>
        <v>132.67631654676279</v>
      </c>
      <c r="AJ31" s="302">
        <f t="shared" si="32"/>
        <v>132.67631654676279</v>
      </c>
      <c r="AK31" s="302">
        <f t="shared" si="32"/>
        <v>132.67631654676279</v>
      </c>
      <c r="AL31" s="302">
        <f t="shared" si="32"/>
        <v>132.67631654676279</v>
      </c>
      <c r="AM31" s="302">
        <f t="shared" si="32"/>
        <v>132.67631654676279</v>
      </c>
      <c r="AN31" s="302">
        <f t="shared" si="32"/>
        <v>132.67631654676279</v>
      </c>
      <c r="AO31" s="302">
        <f t="shared" si="32"/>
        <v>132.67631654676279</v>
      </c>
      <c r="AP31" s="302">
        <f t="shared" si="32"/>
        <v>132.67631654676279</v>
      </c>
      <c r="AQ31" s="302">
        <f t="shared" si="32"/>
        <v>132.67631654676279</v>
      </c>
      <c r="AR31" s="302">
        <f t="shared" si="32"/>
        <v>132.67631654676279</v>
      </c>
      <c r="AS31" s="302">
        <f t="shared" si="32"/>
        <v>132.67631654676279</v>
      </c>
      <c r="AT31" s="302">
        <f t="shared" si="32"/>
        <v>132.67631654676279</v>
      </c>
      <c r="AU31" s="302">
        <f t="shared" si="32"/>
        <v>132.67631654676279</v>
      </c>
      <c r="AV31" s="302">
        <f t="shared" si="32"/>
        <v>132.67631654676279</v>
      </c>
      <c r="AW31" s="302">
        <f t="shared" ref="AW31:CA31" si="33">AU31</f>
        <v>132.67631654676279</v>
      </c>
      <c r="AX31" s="302">
        <f t="shared" si="33"/>
        <v>132.67631654676279</v>
      </c>
      <c r="AY31" s="302">
        <f t="shared" si="33"/>
        <v>132.67631654676279</v>
      </c>
      <c r="AZ31" s="302">
        <f t="shared" si="33"/>
        <v>132.67631654676279</v>
      </c>
      <c r="BA31" s="302">
        <f t="shared" si="33"/>
        <v>132.67631654676279</v>
      </c>
      <c r="BB31" s="302">
        <f t="shared" si="33"/>
        <v>132.67631654676279</v>
      </c>
      <c r="BC31" s="302">
        <f t="shared" si="33"/>
        <v>132.67631654676279</v>
      </c>
      <c r="BD31" s="302">
        <f t="shared" si="33"/>
        <v>132.67631654676279</v>
      </c>
      <c r="BE31" s="302">
        <f t="shared" si="33"/>
        <v>132.67631654676279</v>
      </c>
      <c r="BF31" s="302">
        <f t="shared" si="33"/>
        <v>132.67631654676279</v>
      </c>
      <c r="BG31" s="302">
        <f t="shared" si="33"/>
        <v>132.67631654676279</v>
      </c>
      <c r="BH31" s="302">
        <f t="shared" si="33"/>
        <v>132.67631654676279</v>
      </c>
      <c r="BI31" s="302">
        <f t="shared" si="33"/>
        <v>132.67631654676279</v>
      </c>
      <c r="BJ31" s="302">
        <f t="shared" si="33"/>
        <v>132.67631654676279</v>
      </c>
      <c r="BK31" s="302">
        <f t="shared" si="33"/>
        <v>132.67631654676279</v>
      </c>
      <c r="BL31" s="302">
        <f t="shared" si="33"/>
        <v>132.67631654676279</v>
      </c>
      <c r="BM31" s="302">
        <f t="shared" si="33"/>
        <v>132.67631654676279</v>
      </c>
      <c r="BN31" s="302">
        <f t="shared" si="33"/>
        <v>132.67631654676279</v>
      </c>
      <c r="BO31" s="302">
        <f t="shared" si="33"/>
        <v>132.67631654676279</v>
      </c>
      <c r="BP31" s="302">
        <f t="shared" si="33"/>
        <v>132.67631654676279</v>
      </c>
      <c r="BQ31" s="302">
        <f t="shared" si="33"/>
        <v>132.67631654676279</v>
      </c>
      <c r="BR31" s="302">
        <f t="shared" si="33"/>
        <v>132.67631654676279</v>
      </c>
      <c r="BS31" s="302">
        <f t="shared" si="33"/>
        <v>132.67631654676279</v>
      </c>
      <c r="BT31" s="302">
        <f t="shared" si="33"/>
        <v>132.67631654676279</v>
      </c>
      <c r="BU31" s="302">
        <f t="shared" si="33"/>
        <v>132.67631654676279</v>
      </c>
      <c r="BV31" s="302">
        <f t="shared" si="33"/>
        <v>132.67631654676279</v>
      </c>
      <c r="BW31" s="302">
        <f t="shared" si="33"/>
        <v>132.67631654676279</v>
      </c>
      <c r="BX31" s="302">
        <f t="shared" si="33"/>
        <v>132.67631654676279</v>
      </c>
      <c r="BY31" s="302">
        <f t="shared" si="33"/>
        <v>132.67631654676279</v>
      </c>
      <c r="BZ31" s="302">
        <f t="shared" si="33"/>
        <v>132.67631654676279</v>
      </c>
      <c r="CA31" s="302">
        <f t="shared" si="33"/>
        <v>132.67631654676279</v>
      </c>
      <c r="CB31" s="302">
        <v>0</v>
      </c>
      <c r="CC31" s="302">
        <v>0</v>
      </c>
      <c r="CD31" s="302">
        <v>0</v>
      </c>
      <c r="CE31" s="302">
        <v>0</v>
      </c>
      <c r="CF31" s="302">
        <v>0</v>
      </c>
      <c r="CG31" s="302">
        <v>0</v>
      </c>
      <c r="CH31" s="302">
        <v>0</v>
      </c>
      <c r="CI31" s="302">
        <v>0</v>
      </c>
      <c r="CJ31" s="302">
        <v>0</v>
      </c>
      <c r="CK31" s="302"/>
      <c r="CL31" s="302"/>
      <c r="CM31" s="302"/>
      <c r="CN31" s="302"/>
      <c r="CO31" s="302"/>
      <c r="CP31" s="302"/>
      <c r="CQ31" s="847">
        <v>44682</v>
      </c>
    </row>
    <row r="32" spans="1:98" hidden="1" x14ac:dyDescent="0.25">
      <c r="A32" s="397" t="s">
        <v>325</v>
      </c>
      <c r="B32" s="397" t="s">
        <v>326</v>
      </c>
      <c r="C32" s="397">
        <v>10573</v>
      </c>
      <c r="D32" s="398">
        <v>77160</v>
      </c>
      <c r="E32" s="397" t="s">
        <v>333</v>
      </c>
      <c r="F32" s="397" t="s">
        <v>334</v>
      </c>
      <c r="G32" s="317">
        <v>2020</v>
      </c>
      <c r="H32" s="317">
        <f t="shared" si="6"/>
        <v>2424</v>
      </c>
      <c r="I32" s="302">
        <f t="shared" si="0"/>
        <v>98.820143884891877</v>
      </c>
      <c r="J32" s="302">
        <f t="shared" si="4"/>
        <v>21.740431654676215</v>
      </c>
      <c r="K32" s="302">
        <f t="shared" si="5"/>
        <v>120.56057553956809</v>
      </c>
      <c r="L32" s="302">
        <f t="shared" si="19"/>
        <v>120.56057553956809</v>
      </c>
      <c r="M32" s="302">
        <f t="shared" si="20"/>
        <v>120.56057553956809</v>
      </c>
      <c r="N32" s="302">
        <f t="shared" si="21"/>
        <v>120.56057553956809</v>
      </c>
      <c r="O32" s="302">
        <f t="shared" si="22"/>
        <v>120.56057553956809</v>
      </c>
      <c r="P32" s="302">
        <f t="shared" si="23"/>
        <v>120.56057553956809</v>
      </c>
      <c r="Q32" s="302">
        <f t="shared" si="23"/>
        <v>120.56057553956809</v>
      </c>
      <c r="R32" s="302">
        <f t="shared" si="23"/>
        <v>120.56057553956809</v>
      </c>
      <c r="S32" s="302">
        <f t="shared" si="23"/>
        <v>120.56057553956809</v>
      </c>
      <c r="T32" s="302">
        <f t="shared" si="23"/>
        <v>120.56057553956809</v>
      </c>
      <c r="U32" s="302">
        <f t="shared" si="23"/>
        <v>120.56057553956809</v>
      </c>
      <c r="V32" s="302">
        <f t="shared" si="23"/>
        <v>120.56057553956809</v>
      </c>
      <c r="W32" s="302">
        <f t="shared" si="23"/>
        <v>120.56057553956809</v>
      </c>
      <c r="X32" s="302">
        <f t="shared" si="23"/>
        <v>120.56057553956809</v>
      </c>
      <c r="Y32" s="302">
        <f t="shared" si="23"/>
        <v>120.56057553956809</v>
      </c>
      <c r="Z32" s="302">
        <f t="shared" si="23"/>
        <v>120.56057553956809</v>
      </c>
      <c r="AA32" s="302">
        <f t="shared" si="23"/>
        <v>120.56057553956809</v>
      </c>
      <c r="AB32" s="302">
        <f t="shared" si="23"/>
        <v>120.56057553956809</v>
      </c>
      <c r="AC32" s="303">
        <f>($CR32/AC$2)*$K32</f>
        <v>58.335762357855529</v>
      </c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4">
        <v>43174</v>
      </c>
      <c r="CR32" s="295">
        <v>15</v>
      </c>
    </row>
    <row r="33" spans="1:99" hidden="1" x14ac:dyDescent="0.25">
      <c r="A33" s="397" t="s">
        <v>325</v>
      </c>
      <c r="B33" s="397" t="s">
        <v>329</v>
      </c>
      <c r="C33" s="397">
        <v>10573</v>
      </c>
      <c r="D33" s="398">
        <v>120120</v>
      </c>
      <c r="E33" s="397" t="s">
        <v>335</v>
      </c>
      <c r="F33" s="397" t="s">
        <v>336</v>
      </c>
      <c r="G33" s="317">
        <v>2123</v>
      </c>
      <c r="H33" s="317">
        <f t="shared" si="6"/>
        <v>2547.6</v>
      </c>
      <c r="I33" s="302">
        <f t="shared" si="0"/>
        <v>103.85899280575541</v>
      </c>
      <c r="J33" s="302">
        <f t="shared" si="4"/>
        <v>22.848978417266189</v>
      </c>
      <c r="K33" s="302">
        <f t="shared" si="5"/>
        <v>126.70797122302159</v>
      </c>
      <c r="L33" s="302">
        <f t="shared" si="19"/>
        <v>126.70797122302159</v>
      </c>
      <c r="M33" s="302">
        <f t="shared" si="19"/>
        <v>126.70797122302159</v>
      </c>
      <c r="N33" s="303">
        <f>($CR33/N$2)*$K33</f>
        <v>57.222954745880713</v>
      </c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4">
        <v>42718</v>
      </c>
      <c r="CR33" s="295">
        <v>14</v>
      </c>
    </row>
    <row r="34" spans="1:99" hidden="1" x14ac:dyDescent="0.25">
      <c r="A34" s="397" t="s">
        <v>325</v>
      </c>
      <c r="B34" s="397" t="s">
        <v>329</v>
      </c>
      <c r="C34" s="397">
        <v>10573</v>
      </c>
      <c r="D34" s="398">
        <v>103473</v>
      </c>
      <c r="E34" s="397" t="s">
        <v>337</v>
      </c>
      <c r="F34" s="397" t="s">
        <v>338</v>
      </c>
      <c r="G34" s="317">
        <v>1620</v>
      </c>
      <c r="H34" s="317">
        <f t="shared" si="6"/>
        <v>1944</v>
      </c>
      <c r="I34" s="302">
        <f t="shared" si="0"/>
        <v>79.251798561150963</v>
      </c>
      <c r="J34" s="302">
        <f t="shared" si="4"/>
        <v>17.435395683453212</v>
      </c>
      <c r="K34" s="302">
        <f t="shared" si="5"/>
        <v>96.687194244604171</v>
      </c>
      <c r="L34" s="302">
        <f>K34</f>
        <v>96.687194244604171</v>
      </c>
      <c r="M34" s="303">
        <f>($CR34/M$2)*$K34</f>
        <v>35.45197122302153</v>
      </c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4">
        <v>43050</v>
      </c>
      <c r="CR34" s="295">
        <v>11</v>
      </c>
    </row>
    <row r="35" spans="1:99" hidden="1" x14ac:dyDescent="0.25">
      <c r="A35" s="397" t="s">
        <v>325</v>
      </c>
      <c r="B35" s="397" t="s">
        <v>329</v>
      </c>
      <c r="C35" s="397">
        <v>10573</v>
      </c>
      <c r="D35" s="398"/>
      <c r="E35" s="397" t="s">
        <v>339</v>
      </c>
      <c r="F35" s="397" t="s">
        <v>340</v>
      </c>
      <c r="G35" s="399">
        <v>1620</v>
      </c>
      <c r="H35" s="317">
        <f t="shared" si="6"/>
        <v>1944</v>
      </c>
      <c r="I35" s="302">
        <f t="shared" si="0"/>
        <v>79.251798561150963</v>
      </c>
      <c r="J35" s="302">
        <f t="shared" si="4"/>
        <v>17.435395683453212</v>
      </c>
      <c r="K35" s="302">
        <f t="shared" si="5"/>
        <v>96.687194244604171</v>
      </c>
      <c r="L35" s="303">
        <f>($CR35/L$2)*$K35</f>
        <v>77.973543745648527</v>
      </c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4">
        <v>42668</v>
      </c>
      <c r="CR35" s="295">
        <v>25</v>
      </c>
    </row>
    <row r="36" spans="1:99" hidden="1" x14ac:dyDescent="0.25">
      <c r="A36" s="397" t="s">
        <v>325</v>
      </c>
      <c r="B36" s="397" t="s">
        <v>329</v>
      </c>
      <c r="C36" s="397">
        <v>10573</v>
      </c>
      <c r="D36" s="398">
        <v>103485</v>
      </c>
      <c r="E36" s="397" t="s">
        <v>341</v>
      </c>
      <c r="F36" s="397" t="s">
        <v>342</v>
      </c>
      <c r="G36" s="317">
        <v>1689</v>
      </c>
      <c r="H36" s="317">
        <f t="shared" si="6"/>
        <v>2026.8</v>
      </c>
      <c r="I36" s="302">
        <f t="shared" si="0"/>
        <v>82.627338129496366</v>
      </c>
      <c r="J36" s="302">
        <f t="shared" si="4"/>
        <v>18.178014388489199</v>
      </c>
      <c r="K36" s="302">
        <f t="shared" si="5"/>
        <v>100.80535251798557</v>
      </c>
      <c r="L36" s="302">
        <f t="shared" ref="L36:L63" si="34">K36</f>
        <v>100.80535251798557</v>
      </c>
      <c r="M36" s="302">
        <f t="shared" ref="M36:M63" si="35">K36</f>
        <v>100.80535251798557</v>
      </c>
      <c r="N36" s="302">
        <f t="shared" ref="N36:N63" si="36">K36</f>
        <v>100.80535251798557</v>
      </c>
      <c r="O36" s="302">
        <f t="shared" ref="O36:O62" si="37">K36</f>
        <v>100.80535251798557</v>
      </c>
      <c r="P36" s="302">
        <f t="shared" ref="P36:AE59" si="38">K36</f>
        <v>100.80535251798557</v>
      </c>
      <c r="Q36" s="302">
        <f t="shared" si="38"/>
        <v>100.80535251798557</v>
      </c>
      <c r="R36" s="302">
        <f t="shared" si="38"/>
        <v>100.80535251798557</v>
      </c>
      <c r="S36" s="302">
        <f t="shared" si="38"/>
        <v>100.80535251798557</v>
      </c>
      <c r="T36" s="302">
        <f t="shared" si="38"/>
        <v>100.80535251798557</v>
      </c>
      <c r="U36" s="302">
        <f t="shared" si="38"/>
        <v>100.80535251798557</v>
      </c>
      <c r="V36" s="302">
        <f t="shared" si="38"/>
        <v>100.80535251798557</v>
      </c>
      <c r="W36" s="303">
        <f>($CR36/W$2)*$K36</f>
        <v>26.881427338129484</v>
      </c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4">
        <v>42986</v>
      </c>
      <c r="CR36" s="295">
        <v>8</v>
      </c>
    </row>
    <row r="37" spans="1:99" hidden="1" x14ac:dyDescent="0.25">
      <c r="A37" s="397" t="s">
        <v>325</v>
      </c>
      <c r="B37" s="397" t="s">
        <v>329</v>
      </c>
      <c r="C37" s="397">
        <v>10573</v>
      </c>
      <c r="D37" s="398"/>
      <c r="E37" s="397" t="s">
        <v>341</v>
      </c>
      <c r="F37" s="397" t="s">
        <v>343</v>
      </c>
      <c r="G37" s="317">
        <v>1620</v>
      </c>
      <c r="H37" s="317">
        <f t="shared" si="6"/>
        <v>1944</v>
      </c>
      <c r="I37" s="302">
        <f t="shared" si="0"/>
        <v>79.251798561150963</v>
      </c>
      <c r="J37" s="302">
        <f t="shared" si="4"/>
        <v>17.435395683453212</v>
      </c>
      <c r="K37" s="302">
        <f t="shared" si="5"/>
        <v>96.687194244604171</v>
      </c>
      <c r="L37" s="302">
        <f t="shared" si="34"/>
        <v>96.687194244604171</v>
      </c>
      <c r="M37" s="302">
        <f t="shared" si="35"/>
        <v>96.687194244604171</v>
      </c>
      <c r="N37" s="302">
        <f t="shared" si="36"/>
        <v>96.687194244604171</v>
      </c>
      <c r="O37" s="302">
        <f t="shared" si="37"/>
        <v>96.687194244604171</v>
      </c>
      <c r="P37" s="302">
        <f t="shared" si="38"/>
        <v>96.687194244604171</v>
      </c>
      <c r="Q37" s="302">
        <f t="shared" si="38"/>
        <v>96.687194244604171</v>
      </c>
      <c r="R37" s="303">
        <f>($CR37/R$2)*$K37</f>
        <v>41.897784172661808</v>
      </c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2"/>
      <c r="CQ37" s="304">
        <v>42838</v>
      </c>
      <c r="CR37" s="295">
        <v>13</v>
      </c>
    </row>
    <row r="38" spans="1:99" hidden="1" x14ac:dyDescent="0.25">
      <c r="A38" s="397" t="s">
        <v>325</v>
      </c>
      <c r="B38" s="397" t="s">
        <v>329</v>
      </c>
      <c r="C38" s="397">
        <v>10573</v>
      </c>
      <c r="D38" s="398">
        <v>103472</v>
      </c>
      <c r="E38" s="397" t="s">
        <v>344</v>
      </c>
      <c r="F38" s="397" t="s">
        <v>345</v>
      </c>
      <c r="G38" s="317">
        <v>1689</v>
      </c>
      <c r="H38" s="317">
        <f t="shared" si="6"/>
        <v>2026.8</v>
      </c>
      <c r="I38" s="302">
        <f t="shared" si="0"/>
        <v>82.627338129496366</v>
      </c>
      <c r="J38" s="302">
        <f t="shared" si="4"/>
        <v>18.178014388489199</v>
      </c>
      <c r="K38" s="302">
        <f t="shared" si="5"/>
        <v>100.80535251798557</v>
      </c>
      <c r="L38" s="302">
        <f t="shared" si="34"/>
        <v>100.80535251798557</v>
      </c>
      <c r="M38" s="302">
        <f t="shared" si="35"/>
        <v>100.80535251798557</v>
      </c>
      <c r="N38" s="302">
        <f t="shared" si="36"/>
        <v>100.80535251798557</v>
      </c>
      <c r="O38" s="303">
        <f>($CR38/O$2)*$K38</f>
        <v>3.2517855650963088</v>
      </c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/>
      <c r="CP38" s="302"/>
      <c r="CQ38" s="304">
        <v>42736</v>
      </c>
      <c r="CR38" s="295">
        <v>1</v>
      </c>
    </row>
    <row r="39" spans="1:99" hidden="1" x14ac:dyDescent="0.25">
      <c r="A39" s="397" t="s">
        <v>325</v>
      </c>
      <c r="B39" s="397" t="s">
        <v>329</v>
      </c>
      <c r="C39" s="397">
        <v>10573</v>
      </c>
      <c r="D39" s="398"/>
      <c r="E39" s="397" t="s">
        <v>346</v>
      </c>
      <c r="F39" s="397" t="s">
        <v>347</v>
      </c>
      <c r="G39" s="317">
        <v>1689</v>
      </c>
      <c r="H39" s="317">
        <f t="shared" si="6"/>
        <v>2026.8</v>
      </c>
      <c r="I39" s="302">
        <f t="shared" si="0"/>
        <v>82.627338129496366</v>
      </c>
      <c r="J39" s="302">
        <f t="shared" si="4"/>
        <v>18.178014388489199</v>
      </c>
      <c r="K39" s="302">
        <f t="shared" si="5"/>
        <v>100.80535251798557</v>
      </c>
      <c r="L39" s="302">
        <f t="shared" si="34"/>
        <v>100.80535251798557</v>
      </c>
      <c r="M39" s="302">
        <f t="shared" si="35"/>
        <v>100.80535251798557</v>
      </c>
      <c r="N39" s="302">
        <f t="shared" si="36"/>
        <v>100.80535251798557</v>
      </c>
      <c r="O39" s="302">
        <f t="shared" si="37"/>
        <v>100.80535251798557</v>
      </c>
      <c r="P39" s="302">
        <f t="shared" si="38"/>
        <v>100.80535251798557</v>
      </c>
      <c r="Q39" s="302">
        <f t="shared" si="38"/>
        <v>100.80535251798557</v>
      </c>
      <c r="R39" s="302">
        <f t="shared" si="38"/>
        <v>100.80535251798557</v>
      </c>
      <c r="S39" s="302">
        <f t="shared" si="38"/>
        <v>100.80535251798557</v>
      </c>
      <c r="T39" s="302">
        <f t="shared" si="38"/>
        <v>100.80535251798557</v>
      </c>
      <c r="U39" s="302">
        <f t="shared" si="38"/>
        <v>100.80535251798557</v>
      </c>
      <c r="V39" s="302">
        <f t="shared" si="38"/>
        <v>100.80535251798557</v>
      </c>
      <c r="W39" s="302">
        <f t="shared" si="38"/>
        <v>100.80535251798557</v>
      </c>
      <c r="X39" s="302">
        <f t="shared" si="38"/>
        <v>100.80535251798557</v>
      </c>
      <c r="Y39" s="302">
        <f t="shared" si="38"/>
        <v>100.80535251798557</v>
      </c>
      <c r="Z39" s="302">
        <f t="shared" si="38"/>
        <v>100.80535251798557</v>
      </c>
      <c r="AA39" s="302">
        <f t="shared" si="38"/>
        <v>100.80535251798557</v>
      </c>
      <c r="AB39" s="302">
        <f t="shared" si="38"/>
        <v>100.80535251798557</v>
      </c>
      <c r="AC39" s="302">
        <f t="shared" si="38"/>
        <v>100.80535251798557</v>
      </c>
      <c r="AD39" s="302">
        <f t="shared" si="38"/>
        <v>100.80535251798557</v>
      </c>
      <c r="AE39" s="302">
        <f t="shared" si="38"/>
        <v>100.80535251798557</v>
      </c>
      <c r="AF39" s="302">
        <f t="shared" ref="AF39:AF55" si="39">AA39</f>
        <v>100.80535251798557</v>
      </c>
      <c r="AG39" s="302">
        <f>AE39</f>
        <v>100.80535251798557</v>
      </c>
      <c r="AH39" s="302">
        <f>AF39</f>
        <v>100.80535251798557</v>
      </c>
      <c r="AI39" s="302">
        <v>0</v>
      </c>
      <c r="AJ39" s="302">
        <v>0</v>
      </c>
      <c r="AK39" s="302">
        <v>0</v>
      </c>
      <c r="AL39" s="302">
        <v>0</v>
      </c>
      <c r="AM39" s="302">
        <v>0</v>
      </c>
      <c r="AN39" s="302">
        <v>0</v>
      </c>
      <c r="AO39" s="302">
        <v>0</v>
      </c>
      <c r="AP39" s="302">
        <v>0</v>
      </c>
      <c r="AQ39" s="302">
        <v>0</v>
      </c>
      <c r="AR39" s="302">
        <v>0</v>
      </c>
      <c r="AS39" s="302">
        <v>0</v>
      </c>
      <c r="AT39" s="302">
        <v>0</v>
      </c>
      <c r="AU39" s="302">
        <v>0</v>
      </c>
      <c r="AV39" s="302">
        <v>0</v>
      </c>
      <c r="AW39" s="302">
        <v>0</v>
      </c>
      <c r="AX39" s="302">
        <v>0</v>
      </c>
      <c r="AY39" s="302">
        <v>0</v>
      </c>
      <c r="AZ39" s="302">
        <v>0</v>
      </c>
      <c r="BA39" s="302">
        <v>0</v>
      </c>
      <c r="BB39" s="302">
        <v>0</v>
      </c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 t="s">
        <v>556</v>
      </c>
      <c r="BN39" s="302" t="s">
        <v>556</v>
      </c>
      <c r="BO39" s="302" t="s">
        <v>556</v>
      </c>
      <c r="BP39" s="302" t="s">
        <v>556</v>
      </c>
      <c r="BQ39" s="302" t="s">
        <v>556</v>
      </c>
      <c r="BR39" s="302" t="s">
        <v>556</v>
      </c>
      <c r="BS39" s="302" t="s">
        <v>556</v>
      </c>
      <c r="BT39" s="302" t="s">
        <v>556</v>
      </c>
      <c r="BU39" s="302" t="s">
        <v>556</v>
      </c>
      <c r="BV39" s="302" t="s">
        <v>556</v>
      </c>
      <c r="BW39" s="302" t="s">
        <v>556</v>
      </c>
      <c r="BX39" s="302" t="s">
        <v>556</v>
      </c>
      <c r="BY39" s="302" t="s">
        <v>556</v>
      </c>
      <c r="BZ39" s="302" t="s">
        <v>556</v>
      </c>
      <c r="CA39" s="302" t="s">
        <v>556</v>
      </c>
      <c r="CB39" s="302" t="s">
        <v>556</v>
      </c>
      <c r="CC39" s="302" t="s">
        <v>556</v>
      </c>
      <c r="CD39" s="302" t="s">
        <v>556</v>
      </c>
      <c r="CE39" s="302" t="s">
        <v>556</v>
      </c>
      <c r="CF39" s="302" t="s">
        <v>556</v>
      </c>
      <c r="CG39" s="302" t="s">
        <v>556</v>
      </c>
      <c r="CH39" s="302" t="s">
        <v>556</v>
      </c>
      <c r="CI39" s="302" t="s">
        <v>556</v>
      </c>
      <c r="CJ39" s="302" t="s">
        <v>556</v>
      </c>
      <c r="CK39" s="302"/>
      <c r="CL39" s="302"/>
      <c r="CM39" s="302"/>
      <c r="CN39" s="302"/>
      <c r="CO39" s="302"/>
      <c r="CP39" s="302"/>
      <c r="CQ39" s="304">
        <v>43343</v>
      </c>
    </row>
    <row r="40" spans="1:99" hidden="1" x14ac:dyDescent="0.25">
      <c r="A40" s="397" t="s">
        <v>348</v>
      </c>
      <c r="B40" s="397" t="s">
        <v>349</v>
      </c>
      <c r="C40" s="397">
        <v>10566</v>
      </c>
      <c r="D40" s="398">
        <v>67785</v>
      </c>
      <c r="E40" s="397" t="s">
        <v>350</v>
      </c>
      <c r="F40" s="397" t="s">
        <v>351</v>
      </c>
      <c r="G40" s="317">
        <v>1689</v>
      </c>
      <c r="H40" s="317">
        <f t="shared" si="6"/>
        <v>2026.8</v>
      </c>
      <c r="I40" s="302">
        <f t="shared" si="0"/>
        <v>82.627338129496366</v>
      </c>
      <c r="J40" s="302">
        <f t="shared" si="4"/>
        <v>18.178014388489199</v>
      </c>
      <c r="K40" s="302">
        <f t="shared" si="5"/>
        <v>100.80535251798557</v>
      </c>
      <c r="L40" s="302">
        <f t="shared" si="34"/>
        <v>100.80535251798557</v>
      </c>
      <c r="M40" s="302">
        <f t="shared" si="35"/>
        <v>100.80535251798557</v>
      </c>
      <c r="N40" s="302">
        <f t="shared" si="36"/>
        <v>100.80535251798557</v>
      </c>
      <c r="O40" s="302">
        <f t="shared" si="37"/>
        <v>100.80535251798557</v>
      </c>
      <c r="P40" s="303">
        <f>($CR40/P$2)*$K40</f>
        <v>39.602102774922898</v>
      </c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4">
        <v>42777</v>
      </c>
      <c r="CR40" s="295">
        <v>11</v>
      </c>
    </row>
    <row r="41" spans="1:99" hidden="1" x14ac:dyDescent="0.25">
      <c r="A41" s="397" t="s">
        <v>348</v>
      </c>
      <c r="B41" s="397" t="s">
        <v>349</v>
      </c>
      <c r="C41" s="397">
        <v>10566</v>
      </c>
      <c r="D41" s="398">
        <v>101407</v>
      </c>
      <c r="E41" s="397" t="s">
        <v>352</v>
      </c>
      <c r="F41" s="397" t="s">
        <v>353</v>
      </c>
      <c r="G41" s="317">
        <v>1689</v>
      </c>
      <c r="H41" s="317">
        <f t="shared" si="6"/>
        <v>2026.8</v>
      </c>
      <c r="I41" s="302">
        <f t="shared" si="0"/>
        <v>82.627338129496366</v>
      </c>
      <c r="J41" s="302">
        <f t="shared" si="4"/>
        <v>18.178014388489199</v>
      </c>
      <c r="K41" s="302">
        <f t="shared" si="5"/>
        <v>100.80535251798557</v>
      </c>
      <c r="L41" s="302">
        <f t="shared" si="34"/>
        <v>100.80535251798557</v>
      </c>
      <c r="M41" s="302">
        <f t="shared" si="35"/>
        <v>100.80535251798557</v>
      </c>
      <c r="N41" s="302">
        <f t="shared" si="36"/>
        <v>100.80535251798557</v>
      </c>
      <c r="O41" s="303">
        <f>($CR41/O$2)*$K41</f>
        <v>58.532140171733559</v>
      </c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4">
        <v>42753</v>
      </c>
      <c r="CR41" s="295">
        <v>18</v>
      </c>
    </row>
    <row r="42" spans="1:99" x14ac:dyDescent="0.25">
      <c r="A42" s="395" t="s">
        <v>348</v>
      </c>
      <c r="B42" s="395" t="s">
        <v>349</v>
      </c>
      <c r="C42" s="395">
        <v>10566</v>
      </c>
      <c r="D42" s="396">
        <v>104600</v>
      </c>
      <c r="E42" s="796" t="s">
        <v>354</v>
      </c>
      <c r="F42" s="796" t="s">
        <v>355</v>
      </c>
      <c r="G42" s="301">
        <v>2083</v>
      </c>
      <c r="H42" s="301">
        <f t="shared" si="6"/>
        <v>2499.6</v>
      </c>
      <c r="I42" s="302">
        <f t="shared" si="0"/>
        <v>101.90215827338125</v>
      </c>
      <c r="J42" s="302">
        <f t="shared" si="4"/>
        <v>22.418474820143874</v>
      </c>
      <c r="K42" s="302">
        <f t="shared" si="5"/>
        <v>124.32063309352512</v>
      </c>
      <c r="L42" s="302">
        <f t="shared" si="34"/>
        <v>124.32063309352512</v>
      </c>
      <c r="M42" s="302">
        <f t="shared" si="35"/>
        <v>124.32063309352512</v>
      </c>
      <c r="N42" s="302">
        <f t="shared" si="36"/>
        <v>124.32063309352512</v>
      </c>
      <c r="O42" s="302">
        <f t="shared" si="37"/>
        <v>124.32063309352512</v>
      </c>
      <c r="P42" s="302">
        <f t="shared" si="38"/>
        <v>124.32063309352512</v>
      </c>
      <c r="Q42" s="302">
        <f t="shared" si="38"/>
        <v>124.32063309352512</v>
      </c>
      <c r="R42" s="302">
        <f t="shared" si="38"/>
        <v>124.32063309352512</v>
      </c>
      <c r="S42" s="302">
        <f t="shared" si="38"/>
        <v>124.32063309352512</v>
      </c>
      <c r="T42" s="302">
        <f t="shared" si="38"/>
        <v>124.32063309352512</v>
      </c>
      <c r="U42" s="302">
        <f t="shared" si="38"/>
        <v>124.32063309352512</v>
      </c>
      <c r="V42" s="302">
        <f t="shared" si="38"/>
        <v>124.32063309352512</v>
      </c>
      <c r="W42" s="302">
        <f t="shared" si="38"/>
        <v>124.32063309352512</v>
      </c>
      <c r="X42" s="302">
        <f t="shared" si="38"/>
        <v>124.32063309352512</v>
      </c>
      <c r="Y42" s="302">
        <f t="shared" si="38"/>
        <v>124.32063309352512</v>
      </c>
      <c r="Z42" s="302">
        <f t="shared" si="38"/>
        <v>124.32063309352512</v>
      </c>
      <c r="AA42" s="302">
        <f t="shared" si="38"/>
        <v>124.32063309352512</v>
      </c>
      <c r="AB42" s="302">
        <f t="shared" si="38"/>
        <v>124.32063309352512</v>
      </c>
      <c r="AC42" s="302">
        <f t="shared" si="38"/>
        <v>124.32063309352512</v>
      </c>
      <c r="AD42" s="302">
        <f t="shared" si="38"/>
        <v>124.32063309352512</v>
      </c>
      <c r="AE42" s="302">
        <f t="shared" si="38"/>
        <v>124.32063309352512</v>
      </c>
      <c r="AF42" s="302">
        <f t="shared" si="39"/>
        <v>124.32063309352512</v>
      </c>
      <c r="AG42" s="302">
        <f t="shared" ref="AG42:AV42" si="40">AE42</f>
        <v>124.32063309352512</v>
      </c>
      <c r="AH42" s="302">
        <f t="shared" si="40"/>
        <v>124.32063309352512</v>
      </c>
      <c r="AI42" s="302">
        <f t="shared" si="40"/>
        <v>124.32063309352512</v>
      </c>
      <c r="AJ42" s="302">
        <f t="shared" si="40"/>
        <v>124.32063309352512</v>
      </c>
      <c r="AK42" s="302">
        <f t="shared" si="40"/>
        <v>124.32063309352512</v>
      </c>
      <c r="AL42" s="302">
        <f t="shared" si="40"/>
        <v>124.32063309352512</v>
      </c>
      <c r="AM42" s="302">
        <f t="shared" si="40"/>
        <v>124.32063309352512</v>
      </c>
      <c r="AN42" s="302">
        <f t="shared" si="40"/>
        <v>124.32063309352512</v>
      </c>
      <c r="AO42" s="302">
        <f t="shared" si="40"/>
        <v>124.32063309352512</v>
      </c>
      <c r="AP42" s="302">
        <f t="shared" si="40"/>
        <v>124.32063309352512</v>
      </c>
      <c r="AQ42" s="302">
        <f t="shared" si="40"/>
        <v>124.32063309352512</v>
      </c>
      <c r="AR42" s="302">
        <f t="shared" si="40"/>
        <v>124.32063309352512</v>
      </c>
      <c r="AS42" s="302">
        <f t="shared" si="40"/>
        <v>124.32063309352512</v>
      </c>
      <c r="AT42" s="302">
        <f t="shared" si="40"/>
        <v>124.32063309352512</v>
      </c>
      <c r="AU42" s="302">
        <f t="shared" si="40"/>
        <v>124.32063309352512</v>
      </c>
      <c r="AV42" s="302">
        <f t="shared" si="40"/>
        <v>124.32063309352512</v>
      </c>
      <c r="AW42" s="302">
        <f t="shared" ref="AW42:CJ42" si="41">AU42</f>
        <v>124.32063309352512</v>
      </c>
      <c r="AX42" s="302">
        <f t="shared" si="41"/>
        <v>124.32063309352512</v>
      </c>
      <c r="AY42" s="302">
        <f t="shared" si="41"/>
        <v>124.32063309352512</v>
      </c>
      <c r="AZ42" s="302">
        <f t="shared" si="41"/>
        <v>124.32063309352512</v>
      </c>
      <c r="BA42" s="302">
        <f t="shared" si="41"/>
        <v>124.32063309352512</v>
      </c>
      <c r="BB42" s="302">
        <f t="shared" si="41"/>
        <v>124.32063309352512</v>
      </c>
      <c r="BC42" s="302">
        <f t="shared" si="41"/>
        <v>124.32063309352512</v>
      </c>
      <c r="BD42" s="302">
        <f t="shared" si="41"/>
        <v>124.32063309352512</v>
      </c>
      <c r="BE42" s="302">
        <f t="shared" si="41"/>
        <v>124.32063309352512</v>
      </c>
      <c r="BF42" s="302">
        <f t="shared" si="41"/>
        <v>124.32063309352512</v>
      </c>
      <c r="BG42" s="302">
        <f t="shared" si="41"/>
        <v>124.32063309352512</v>
      </c>
      <c r="BH42" s="302">
        <f t="shared" si="41"/>
        <v>124.32063309352512</v>
      </c>
      <c r="BI42" s="302">
        <f t="shared" si="41"/>
        <v>124.32063309352512</v>
      </c>
      <c r="BJ42" s="302">
        <f t="shared" si="41"/>
        <v>124.32063309352512</v>
      </c>
      <c r="BK42" s="302">
        <f t="shared" si="41"/>
        <v>124.32063309352512</v>
      </c>
      <c r="BL42" s="302">
        <f t="shared" si="41"/>
        <v>124.32063309352512</v>
      </c>
      <c r="BM42" s="302">
        <f t="shared" si="41"/>
        <v>124.32063309352512</v>
      </c>
      <c r="BN42" s="302">
        <f t="shared" si="41"/>
        <v>124.32063309352512</v>
      </c>
      <c r="BO42" s="302">
        <f t="shared" si="41"/>
        <v>124.32063309352512</v>
      </c>
      <c r="BP42" s="302">
        <f t="shared" si="41"/>
        <v>124.32063309352512</v>
      </c>
      <c r="BQ42" s="302">
        <f t="shared" si="41"/>
        <v>124.32063309352512</v>
      </c>
      <c r="BR42" s="302">
        <f t="shared" si="41"/>
        <v>124.32063309352512</v>
      </c>
      <c r="BS42" s="302">
        <f t="shared" si="41"/>
        <v>124.32063309352512</v>
      </c>
      <c r="BT42" s="302">
        <f t="shared" si="41"/>
        <v>124.32063309352512</v>
      </c>
      <c r="BU42" s="302">
        <f t="shared" si="41"/>
        <v>124.32063309352512</v>
      </c>
      <c r="BV42" s="302">
        <f t="shared" si="41"/>
        <v>124.32063309352512</v>
      </c>
      <c r="BW42" s="302">
        <f t="shared" si="41"/>
        <v>124.32063309352512</v>
      </c>
      <c r="BX42" s="302">
        <f t="shared" si="41"/>
        <v>124.32063309352512</v>
      </c>
      <c r="BY42" s="302">
        <f t="shared" si="41"/>
        <v>124.32063309352512</v>
      </c>
      <c r="BZ42" s="302">
        <f t="shared" si="41"/>
        <v>124.32063309352512</v>
      </c>
      <c r="CA42" s="302">
        <f t="shared" si="41"/>
        <v>124.32063309352512</v>
      </c>
      <c r="CB42" s="302">
        <f t="shared" si="41"/>
        <v>124.32063309352512</v>
      </c>
      <c r="CC42" s="302">
        <f t="shared" si="41"/>
        <v>124.32063309352512</v>
      </c>
      <c r="CD42" s="302">
        <f t="shared" si="41"/>
        <v>124.32063309352512</v>
      </c>
      <c r="CE42" s="302">
        <f t="shared" si="41"/>
        <v>124.32063309352512</v>
      </c>
      <c r="CF42" s="302">
        <f t="shared" si="41"/>
        <v>124.32063309352512</v>
      </c>
      <c r="CG42" s="302">
        <f t="shared" si="41"/>
        <v>124.32063309352512</v>
      </c>
      <c r="CH42" s="302">
        <f t="shared" si="41"/>
        <v>124.32063309352512</v>
      </c>
      <c r="CI42" s="302">
        <f t="shared" si="41"/>
        <v>124.32063309352512</v>
      </c>
      <c r="CJ42" s="302">
        <f t="shared" si="41"/>
        <v>124.32063309352512</v>
      </c>
      <c r="CK42" s="302">
        <v>124.32</v>
      </c>
      <c r="CL42" s="302">
        <v>124.32</v>
      </c>
      <c r="CM42" s="302">
        <v>124.32</v>
      </c>
      <c r="CN42" s="302">
        <v>124.32</v>
      </c>
      <c r="CO42" s="302">
        <v>124.32</v>
      </c>
      <c r="CP42" s="302">
        <v>124.32</v>
      </c>
      <c r="CQ42" s="296"/>
    </row>
    <row r="43" spans="1:99" hidden="1" x14ac:dyDescent="0.25">
      <c r="A43" s="397" t="s">
        <v>348</v>
      </c>
      <c r="B43" s="397" t="s">
        <v>349</v>
      </c>
      <c r="C43" s="397">
        <v>10566</v>
      </c>
      <c r="D43" s="398"/>
      <c r="E43" s="397" t="s">
        <v>356</v>
      </c>
      <c r="F43" s="397" t="s">
        <v>357</v>
      </c>
      <c r="G43" s="317">
        <v>2117</v>
      </c>
      <c r="H43" s="317">
        <f t="shared" si="6"/>
        <v>2540.4</v>
      </c>
      <c r="I43" s="302">
        <f t="shared" si="0"/>
        <v>103.56546762589915</v>
      </c>
      <c r="J43" s="302">
        <f t="shared" si="4"/>
        <v>22.784402877697811</v>
      </c>
      <c r="K43" s="302">
        <f t="shared" si="5"/>
        <v>126.34987050359696</v>
      </c>
      <c r="L43" s="302">
        <f t="shared" si="34"/>
        <v>126.34987050359696</v>
      </c>
      <c r="M43" s="302">
        <f t="shared" si="35"/>
        <v>126.34987050359696</v>
      </c>
      <c r="N43" s="303">
        <f>($CR43/N$2)*$K43</f>
        <v>114.12246368066822</v>
      </c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4">
        <v>42732</v>
      </c>
      <c r="CR43" s="295">
        <v>28</v>
      </c>
    </row>
    <row r="44" spans="1:99" hidden="1" x14ac:dyDescent="0.25">
      <c r="A44" s="395" t="s">
        <v>348</v>
      </c>
      <c r="B44" s="395" t="s">
        <v>349</v>
      </c>
      <c r="C44" s="395">
        <v>10566</v>
      </c>
      <c r="D44" s="396"/>
      <c r="E44" s="796" t="s">
        <v>358</v>
      </c>
      <c r="F44" s="395" t="s">
        <v>359</v>
      </c>
      <c r="G44" s="301">
        <v>1689</v>
      </c>
      <c r="H44" s="301">
        <f t="shared" si="6"/>
        <v>2026.8</v>
      </c>
      <c r="I44" s="302">
        <f t="shared" si="0"/>
        <v>82.627338129496366</v>
      </c>
      <c r="J44" s="302">
        <f t="shared" si="4"/>
        <v>18.178014388489199</v>
      </c>
      <c r="K44" s="302">
        <f t="shared" si="5"/>
        <v>100.80535251798557</v>
      </c>
      <c r="L44" s="302">
        <f t="shared" si="34"/>
        <v>100.80535251798557</v>
      </c>
      <c r="M44" s="302">
        <f t="shared" si="35"/>
        <v>100.80535251798557</v>
      </c>
      <c r="N44" s="302">
        <f t="shared" si="36"/>
        <v>100.80535251798557</v>
      </c>
      <c r="O44" s="302">
        <f t="shared" si="37"/>
        <v>100.80535251798557</v>
      </c>
      <c r="P44" s="302">
        <f t="shared" si="38"/>
        <v>100.80535251798557</v>
      </c>
      <c r="Q44" s="302">
        <f t="shared" si="38"/>
        <v>100.80535251798557</v>
      </c>
      <c r="R44" s="302">
        <f t="shared" si="38"/>
        <v>100.80535251798557</v>
      </c>
      <c r="S44" s="302">
        <f t="shared" si="38"/>
        <v>100.80535251798557</v>
      </c>
      <c r="T44" s="302">
        <f t="shared" si="38"/>
        <v>100.80535251798557</v>
      </c>
      <c r="U44" s="302">
        <f t="shared" si="38"/>
        <v>100.80535251798557</v>
      </c>
      <c r="V44" s="302">
        <f t="shared" si="38"/>
        <v>100.80535251798557</v>
      </c>
      <c r="W44" s="302">
        <f t="shared" si="38"/>
        <v>100.80535251798557</v>
      </c>
      <c r="X44" s="302">
        <f t="shared" si="38"/>
        <v>100.80535251798557</v>
      </c>
      <c r="Y44" s="302">
        <f t="shared" si="38"/>
        <v>100.80535251798557</v>
      </c>
      <c r="Z44" s="302">
        <f t="shared" si="38"/>
        <v>100.80535251798557</v>
      </c>
      <c r="AA44" s="302">
        <f t="shared" si="38"/>
        <v>100.80535251798557</v>
      </c>
      <c r="AB44" s="302">
        <f t="shared" si="38"/>
        <v>100.80535251798557</v>
      </c>
      <c r="AC44" s="302">
        <f t="shared" si="38"/>
        <v>100.80535251798557</v>
      </c>
      <c r="AD44" s="302">
        <f t="shared" si="38"/>
        <v>100.80535251798557</v>
      </c>
      <c r="AE44" s="302">
        <f t="shared" si="38"/>
        <v>100.80535251798557</v>
      </c>
      <c r="AF44" s="302">
        <f t="shared" si="39"/>
        <v>100.80535251798557</v>
      </c>
      <c r="AG44" s="302">
        <f t="shared" ref="AG44:AV48" si="42">AE44</f>
        <v>100.80535251798557</v>
      </c>
      <c r="AH44" s="302">
        <f t="shared" si="42"/>
        <v>100.80535251798557</v>
      </c>
      <c r="AI44" s="302">
        <f t="shared" si="42"/>
        <v>100.80535251798557</v>
      </c>
      <c r="AJ44" s="302">
        <f t="shared" si="42"/>
        <v>100.80535251798557</v>
      </c>
      <c r="AK44" s="302">
        <f t="shared" si="42"/>
        <v>100.80535251798557</v>
      </c>
      <c r="AL44" s="302">
        <f t="shared" si="42"/>
        <v>100.80535251798557</v>
      </c>
      <c r="AM44" s="302">
        <f t="shared" si="42"/>
        <v>100.80535251798557</v>
      </c>
      <c r="AN44" s="302">
        <f t="shared" si="42"/>
        <v>100.80535251798557</v>
      </c>
      <c r="AO44" s="302">
        <f t="shared" si="42"/>
        <v>100.80535251798557</v>
      </c>
      <c r="AP44" s="302">
        <f t="shared" si="42"/>
        <v>100.80535251798557</v>
      </c>
      <c r="AQ44" s="302">
        <f t="shared" si="42"/>
        <v>100.80535251798557</v>
      </c>
      <c r="AR44" s="302">
        <f t="shared" si="42"/>
        <v>100.80535251798557</v>
      </c>
      <c r="AS44" s="302">
        <f t="shared" si="42"/>
        <v>100.80535251798557</v>
      </c>
      <c r="AT44" s="302">
        <f t="shared" si="42"/>
        <v>100.80535251798557</v>
      </c>
      <c r="AU44" s="302">
        <f t="shared" si="42"/>
        <v>100.80535251798557</v>
      </c>
      <c r="AV44" s="302">
        <f t="shared" si="42"/>
        <v>100.80535251798557</v>
      </c>
      <c r="AW44" s="302">
        <f t="shared" ref="AW44:CJ48" si="43">AU44</f>
        <v>100.80535251798557</v>
      </c>
      <c r="AX44" s="302">
        <f t="shared" si="43"/>
        <v>100.80535251798557</v>
      </c>
      <c r="AY44" s="302">
        <f t="shared" si="43"/>
        <v>100.80535251798557</v>
      </c>
      <c r="AZ44" s="302">
        <f t="shared" si="43"/>
        <v>100.80535251798557</v>
      </c>
      <c r="BA44" s="302">
        <f t="shared" si="43"/>
        <v>100.80535251798557</v>
      </c>
      <c r="BB44" s="302">
        <f t="shared" si="43"/>
        <v>100.80535251798557</v>
      </c>
      <c r="BC44" s="302">
        <f t="shared" si="43"/>
        <v>100.80535251798557</v>
      </c>
      <c r="BD44" s="302">
        <f t="shared" si="43"/>
        <v>100.80535251798557</v>
      </c>
      <c r="BE44" s="302">
        <f t="shared" si="43"/>
        <v>100.80535251798557</v>
      </c>
      <c r="BF44" s="302">
        <f t="shared" si="43"/>
        <v>100.80535251798557</v>
      </c>
      <c r="BG44" s="302">
        <f t="shared" si="43"/>
        <v>100.80535251798557</v>
      </c>
      <c r="BH44" s="302">
        <f t="shared" si="43"/>
        <v>100.80535251798557</v>
      </c>
      <c r="BI44" s="302">
        <f t="shared" si="43"/>
        <v>100.80535251798557</v>
      </c>
      <c r="BJ44" s="302">
        <f t="shared" si="43"/>
        <v>100.80535251798557</v>
      </c>
      <c r="BK44" s="302">
        <f t="shared" si="43"/>
        <v>100.80535251798557</v>
      </c>
      <c r="BL44" s="302">
        <f t="shared" si="43"/>
        <v>100.80535251798557</v>
      </c>
      <c r="BM44" s="302">
        <f t="shared" si="43"/>
        <v>100.80535251798557</v>
      </c>
      <c r="BN44" s="302">
        <f t="shared" si="43"/>
        <v>100.80535251798557</v>
      </c>
      <c r="BO44" s="302">
        <f t="shared" si="43"/>
        <v>100.80535251798557</v>
      </c>
      <c r="BP44" s="302">
        <f t="shared" si="43"/>
        <v>100.80535251798557</v>
      </c>
      <c r="BQ44" s="302">
        <f t="shared" si="43"/>
        <v>100.80535251798557</v>
      </c>
      <c r="BR44" s="302">
        <f t="shared" si="43"/>
        <v>100.80535251798557</v>
      </c>
      <c r="BS44" s="302">
        <f t="shared" si="43"/>
        <v>100.80535251798557</v>
      </c>
      <c r="BT44" s="302">
        <f t="shared" si="43"/>
        <v>100.80535251798557</v>
      </c>
      <c r="BU44" s="302">
        <f t="shared" si="43"/>
        <v>100.80535251798557</v>
      </c>
      <c r="BV44" s="302">
        <f t="shared" si="43"/>
        <v>100.80535251798557</v>
      </c>
      <c r="BW44" s="302">
        <f t="shared" si="43"/>
        <v>100.80535251798557</v>
      </c>
      <c r="BX44" s="302">
        <f t="shared" si="43"/>
        <v>100.80535251798557</v>
      </c>
      <c r="BY44" s="302">
        <f t="shared" si="43"/>
        <v>100.80535251798557</v>
      </c>
      <c r="BZ44" s="302">
        <f t="shared" si="43"/>
        <v>100.80535251798557</v>
      </c>
      <c r="CA44" s="302">
        <f t="shared" si="43"/>
        <v>100.80535251798557</v>
      </c>
      <c r="CB44" s="302">
        <f t="shared" si="43"/>
        <v>100.80535251798557</v>
      </c>
      <c r="CC44" s="302">
        <f t="shared" si="43"/>
        <v>100.80535251798557</v>
      </c>
      <c r="CD44" s="302">
        <f t="shared" si="43"/>
        <v>100.80535251798557</v>
      </c>
      <c r="CE44" s="302">
        <f t="shared" si="43"/>
        <v>100.80535251798557</v>
      </c>
      <c r="CF44" s="302">
        <f t="shared" si="43"/>
        <v>100.80535251798557</v>
      </c>
      <c r="CG44" s="302">
        <f t="shared" si="43"/>
        <v>100.80535251798557</v>
      </c>
      <c r="CH44" s="302">
        <f t="shared" si="43"/>
        <v>100.80535251798557</v>
      </c>
      <c r="CI44" s="302">
        <f t="shared" si="43"/>
        <v>100.80535251798557</v>
      </c>
      <c r="CJ44" s="302">
        <f t="shared" si="43"/>
        <v>100.80535251798557</v>
      </c>
      <c r="CK44" s="302"/>
      <c r="CL44" s="302"/>
      <c r="CM44" s="302"/>
      <c r="CN44" s="302"/>
      <c r="CO44" s="302"/>
      <c r="CP44" s="302"/>
      <c r="CQ44" s="296"/>
    </row>
    <row r="45" spans="1:99" hidden="1" x14ac:dyDescent="0.25">
      <c r="A45" s="395" t="s">
        <v>348</v>
      </c>
      <c r="B45" s="395" t="s">
        <v>349</v>
      </c>
      <c r="C45" s="395">
        <v>10566</v>
      </c>
      <c r="D45" s="396">
        <v>67715</v>
      </c>
      <c r="E45" s="796" t="s">
        <v>360</v>
      </c>
      <c r="F45" s="395" t="s">
        <v>361</v>
      </c>
      <c r="G45" s="301">
        <v>2083</v>
      </c>
      <c r="H45" s="301">
        <f t="shared" si="6"/>
        <v>2499.6</v>
      </c>
      <c r="I45" s="302">
        <f t="shared" si="0"/>
        <v>101.90215827338125</v>
      </c>
      <c r="J45" s="302">
        <f t="shared" si="4"/>
        <v>22.418474820143874</v>
      </c>
      <c r="K45" s="302">
        <f t="shared" si="5"/>
        <v>124.32063309352512</v>
      </c>
      <c r="L45" s="302">
        <f t="shared" si="34"/>
        <v>124.32063309352512</v>
      </c>
      <c r="M45" s="302">
        <f t="shared" si="35"/>
        <v>124.32063309352512</v>
      </c>
      <c r="N45" s="302">
        <f t="shared" si="36"/>
        <v>124.32063309352512</v>
      </c>
      <c r="O45" s="302">
        <f t="shared" si="37"/>
        <v>124.32063309352512</v>
      </c>
      <c r="P45" s="302">
        <f t="shared" si="38"/>
        <v>124.32063309352512</v>
      </c>
      <c r="Q45" s="302">
        <f t="shared" si="38"/>
        <v>124.32063309352512</v>
      </c>
      <c r="R45" s="302">
        <f t="shared" si="38"/>
        <v>124.32063309352512</v>
      </c>
      <c r="S45" s="302">
        <f t="shared" si="38"/>
        <v>124.32063309352512</v>
      </c>
      <c r="T45" s="302">
        <f t="shared" si="38"/>
        <v>124.32063309352512</v>
      </c>
      <c r="U45" s="302">
        <f t="shared" si="38"/>
        <v>124.32063309352512</v>
      </c>
      <c r="V45" s="302">
        <f t="shared" si="38"/>
        <v>124.32063309352512</v>
      </c>
      <c r="W45" s="302">
        <f t="shared" si="38"/>
        <v>124.32063309352512</v>
      </c>
      <c r="X45" s="302">
        <f t="shared" si="38"/>
        <v>124.32063309352512</v>
      </c>
      <c r="Y45" s="302">
        <f t="shared" si="38"/>
        <v>124.32063309352512</v>
      </c>
      <c r="Z45" s="302">
        <f t="shared" si="38"/>
        <v>124.32063309352512</v>
      </c>
      <c r="AA45" s="302">
        <f>($CR45/AA$2)*$K45</f>
        <v>116.29994708749123</v>
      </c>
      <c r="AB45" s="302"/>
      <c r="AC45" s="303">
        <f>($CS45/AC$2)*$K45</f>
        <v>16.041372012067757</v>
      </c>
      <c r="AD45" s="302"/>
      <c r="AE45" s="302">
        <f t="shared" si="38"/>
        <v>124.32063309352512</v>
      </c>
      <c r="AF45" s="302">
        <f>Z45</f>
        <v>124.32063309352512</v>
      </c>
      <c r="AG45" s="302">
        <f t="shared" si="42"/>
        <v>124.32063309352512</v>
      </c>
      <c r="AH45" s="302">
        <f t="shared" si="42"/>
        <v>124.32063309352512</v>
      </c>
      <c r="AI45" s="302">
        <f t="shared" si="42"/>
        <v>124.32063309352512</v>
      </c>
      <c r="AJ45" s="302">
        <f t="shared" si="42"/>
        <v>124.32063309352512</v>
      </c>
      <c r="AK45" s="302">
        <f t="shared" si="42"/>
        <v>124.32063309352512</v>
      </c>
      <c r="AL45" s="302">
        <f t="shared" si="42"/>
        <v>124.32063309352512</v>
      </c>
      <c r="AM45" s="302">
        <f t="shared" si="42"/>
        <v>124.32063309352512</v>
      </c>
      <c r="AN45" s="302">
        <f t="shared" si="42"/>
        <v>124.32063309352512</v>
      </c>
      <c r="AO45" s="302">
        <f t="shared" si="42"/>
        <v>124.32063309352512</v>
      </c>
      <c r="AP45" s="302">
        <f t="shared" si="42"/>
        <v>124.32063309352512</v>
      </c>
      <c r="AQ45" s="302">
        <f t="shared" si="42"/>
        <v>124.32063309352512</v>
      </c>
      <c r="AR45" s="302">
        <f t="shared" si="42"/>
        <v>124.32063309352512</v>
      </c>
      <c r="AS45" s="302">
        <f t="shared" si="42"/>
        <v>124.32063309352512</v>
      </c>
      <c r="AT45" s="302">
        <f t="shared" si="42"/>
        <v>124.32063309352512</v>
      </c>
      <c r="AU45" s="302">
        <f t="shared" si="42"/>
        <v>124.32063309352512</v>
      </c>
      <c r="AV45" s="302">
        <f t="shared" si="42"/>
        <v>124.32063309352512</v>
      </c>
      <c r="AW45" s="302">
        <f t="shared" si="43"/>
        <v>124.32063309352512</v>
      </c>
      <c r="AX45" s="302">
        <f t="shared" si="43"/>
        <v>124.32063309352512</v>
      </c>
      <c r="AY45" s="302">
        <f t="shared" si="43"/>
        <v>124.32063309352512</v>
      </c>
      <c r="AZ45" s="302">
        <f t="shared" si="43"/>
        <v>124.32063309352512</v>
      </c>
      <c r="BA45" s="302">
        <f t="shared" si="43"/>
        <v>124.32063309352512</v>
      </c>
      <c r="BB45" s="302">
        <f t="shared" si="43"/>
        <v>124.32063309352512</v>
      </c>
      <c r="BC45" s="302">
        <f t="shared" si="43"/>
        <v>124.32063309352512</v>
      </c>
      <c r="BD45" s="302">
        <f t="shared" si="43"/>
        <v>124.32063309352512</v>
      </c>
      <c r="BE45" s="302">
        <f t="shared" si="43"/>
        <v>124.32063309352512</v>
      </c>
      <c r="BF45" s="302">
        <f t="shared" si="43"/>
        <v>124.32063309352512</v>
      </c>
      <c r="BG45" s="302">
        <f t="shared" si="43"/>
        <v>124.32063309352512</v>
      </c>
      <c r="BH45" s="302">
        <f t="shared" si="43"/>
        <v>124.32063309352512</v>
      </c>
      <c r="BI45" s="302">
        <f t="shared" si="43"/>
        <v>124.32063309352512</v>
      </c>
      <c r="BJ45" s="302">
        <f t="shared" si="43"/>
        <v>124.32063309352512</v>
      </c>
      <c r="BK45" s="302">
        <f t="shared" si="43"/>
        <v>124.32063309352512</v>
      </c>
      <c r="BL45" s="302">
        <f t="shared" si="43"/>
        <v>124.32063309352512</v>
      </c>
      <c r="BM45" s="302">
        <f t="shared" si="43"/>
        <v>124.32063309352512</v>
      </c>
      <c r="BN45" s="302">
        <f t="shared" si="43"/>
        <v>124.32063309352512</v>
      </c>
      <c r="BO45" s="302">
        <f t="shared" si="43"/>
        <v>124.32063309352512</v>
      </c>
      <c r="BP45" s="302">
        <f t="shared" si="43"/>
        <v>124.32063309352512</v>
      </c>
      <c r="BQ45" s="302">
        <f t="shared" si="43"/>
        <v>124.32063309352512</v>
      </c>
      <c r="BR45" s="302">
        <f t="shared" si="43"/>
        <v>124.32063309352512</v>
      </c>
      <c r="BS45" s="302">
        <f t="shared" si="43"/>
        <v>124.32063309352512</v>
      </c>
      <c r="BT45" s="302">
        <f t="shared" si="43"/>
        <v>124.32063309352512</v>
      </c>
      <c r="BU45" s="302">
        <f t="shared" si="43"/>
        <v>124.32063309352512</v>
      </c>
      <c r="BV45" s="302">
        <f t="shared" si="43"/>
        <v>124.32063309352512</v>
      </c>
      <c r="BW45" s="302">
        <f t="shared" si="43"/>
        <v>124.32063309352512</v>
      </c>
      <c r="BX45" s="302">
        <f t="shared" si="43"/>
        <v>124.32063309352512</v>
      </c>
      <c r="BY45" s="302">
        <f t="shared" si="43"/>
        <v>124.32063309352512</v>
      </c>
      <c r="BZ45" s="302">
        <f t="shared" si="43"/>
        <v>124.32063309352512</v>
      </c>
      <c r="CA45" s="302">
        <f t="shared" si="43"/>
        <v>124.32063309352512</v>
      </c>
      <c r="CB45" s="302">
        <f t="shared" si="43"/>
        <v>124.32063309352512</v>
      </c>
      <c r="CC45" s="302">
        <f t="shared" si="43"/>
        <v>124.32063309352512</v>
      </c>
      <c r="CD45" s="302">
        <f t="shared" si="43"/>
        <v>124.32063309352512</v>
      </c>
      <c r="CE45" s="302">
        <f t="shared" si="43"/>
        <v>124.32063309352512</v>
      </c>
      <c r="CF45" s="302">
        <f t="shared" si="43"/>
        <v>124.32063309352512</v>
      </c>
      <c r="CG45" s="302">
        <f t="shared" si="43"/>
        <v>124.32063309352512</v>
      </c>
      <c r="CH45" s="302">
        <f t="shared" si="43"/>
        <v>124.32063309352512</v>
      </c>
      <c r="CI45" s="302">
        <f t="shared" si="43"/>
        <v>124.32063309352512</v>
      </c>
      <c r="CJ45" s="302">
        <f t="shared" si="43"/>
        <v>124.32063309352512</v>
      </c>
      <c r="CK45" s="302"/>
      <c r="CL45" s="302"/>
      <c r="CM45" s="302"/>
      <c r="CN45" s="302"/>
      <c r="CO45" s="302"/>
      <c r="CP45" s="302"/>
      <c r="CQ45" s="304" t="s">
        <v>467</v>
      </c>
      <c r="CR45" s="295">
        <v>29</v>
      </c>
      <c r="CS45" s="295">
        <v>4</v>
      </c>
      <c r="CT45" s="573" t="s">
        <v>468</v>
      </c>
      <c r="CU45" s="295" t="s">
        <v>500</v>
      </c>
    </row>
    <row r="46" spans="1:99" hidden="1" x14ac:dyDescent="0.25">
      <c r="A46" s="395" t="s">
        <v>348</v>
      </c>
      <c r="B46" s="395" t="s">
        <v>349</v>
      </c>
      <c r="C46" s="395">
        <v>10566</v>
      </c>
      <c r="D46" s="396">
        <v>104642</v>
      </c>
      <c r="E46" s="796" t="s">
        <v>362</v>
      </c>
      <c r="F46" s="395" t="s">
        <v>363</v>
      </c>
      <c r="G46" s="301">
        <v>2168</v>
      </c>
      <c r="H46" s="301">
        <f t="shared" si="6"/>
        <v>2601.6</v>
      </c>
      <c r="I46" s="302">
        <f t="shared" si="0"/>
        <v>106.06043165467599</v>
      </c>
      <c r="J46" s="302">
        <f t="shared" si="4"/>
        <v>23.33329496402872</v>
      </c>
      <c r="K46" s="302">
        <f t="shared" si="5"/>
        <v>129.3937266187047</v>
      </c>
      <c r="L46" s="302">
        <f t="shared" si="34"/>
        <v>129.3937266187047</v>
      </c>
      <c r="M46" s="302">
        <f t="shared" si="35"/>
        <v>129.3937266187047</v>
      </c>
      <c r="N46" s="302">
        <f t="shared" si="36"/>
        <v>129.3937266187047</v>
      </c>
      <c r="O46" s="302">
        <f t="shared" si="37"/>
        <v>129.3937266187047</v>
      </c>
      <c r="P46" s="302">
        <f t="shared" si="38"/>
        <v>129.3937266187047</v>
      </c>
      <c r="Q46" s="302">
        <f t="shared" si="38"/>
        <v>129.3937266187047</v>
      </c>
      <c r="R46" s="302">
        <f t="shared" si="38"/>
        <v>129.3937266187047</v>
      </c>
      <c r="S46" s="302">
        <f t="shared" si="38"/>
        <v>129.3937266187047</v>
      </c>
      <c r="T46" s="302">
        <f t="shared" si="38"/>
        <v>129.3937266187047</v>
      </c>
      <c r="U46" s="302">
        <f t="shared" si="38"/>
        <v>129.3937266187047</v>
      </c>
      <c r="V46" s="302">
        <f t="shared" si="38"/>
        <v>129.3937266187047</v>
      </c>
      <c r="W46" s="302">
        <f t="shared" si="38"/>
        <v>129.3937266187047</v>
      </c>
      <c r="X46" s="302">
        <f t="shared" si="38"/>
        <v>129.3937266187047</v>
      </c>
      <c r="Y46" s="302">
        <f t="shared" si="38"/>
        <v>129.3937266187047</v>
      </c>
      <c r="Z46" s="302">
        <f t="shared" si="38"/>
        <v>129.3937266187047</v>
      </c>
      <c r="AA46" s="302">
        <f t="shared" si="38"/>
        <v>129.3937266187047</v>
      </c>
      <c r="AB46" s="302">
        <f t="shared" si="38"/>
        <v>129.3937266187047</v>
      </c>
      <c r="AC46" s="302">
        <f t="shared" si="38"/>
        <v>129.3937266187047</v>
      </c>
      <c r="AD46" s="302">
        <f t="shared" si="38"/>
        <v>129.3937266187047</v>
      </c>
      <c r="AE46" s="302">
        <f t="shared" si="38"/>
        <v>129.3937266187047</v>
      </c>
      <c r="AF46" s="302">
        <f t="shared" si="39"/>
        <v>129.3937266187047</v>
      </c>
      <c r="AG46" s="302">
        <f t="shared" si="42"/>
        <v>129.3937266187047</v>
      </c>
      <c r="AH46" s="302">
        <f t="shared" si="42"/>
        <v>129.3937266187047</v>
      </c>
      <c r="AI46" s="302">
        <f t="shared" si="42"/>
        <v>129.3937266187047</v>
      </c>
      <c r="AJ46" s="302">
        <f t="shared" si="42"/>
        <v>129.3937266187047</v>
      </c>
      <c r="AK46" s="302">
        <f t="shared" si="42"/>
        <v>129.3937266187047</v>
      </c>
      <c r="AL46" s="302">
        <f t="shared" si="42"/>
        <v>129.3937266187047</v>
      </c>
      <c r="AM46" s="302">
        <f t="shared" si="42"/>
        <v>129.3937266187047</v>
      </c>
      <c r="AN46" s="302">
        <f t="shared" si="42"/>
        <v>129.3937266187047</v>
      </c>
      <c r="AO46" s="302">
        <f t="shared" si="42"/>
        <v>129.3937266187047</v>
      </c>
      <c r="AP46" s="302">
        <f t="shared" si="42"/>
        <v>129.3937266187047</v>
      </c>
      <c r="AQ46" s="302">
        <f t="shared" si="42"/>
        <v>129.3937266187047</v>
      </c>
      <c r="AR46" s="302">
        <f t="shared" si="42"/>
        <v>129.3937266187047</v>
      </c>
      <c r="AS46" s="302">
        <f t="shared" si="42"/>
        <v>129.3937266187047</v>
      </c>
      <c r="AT46" s="302">
        <f t="shared" si="42"/>
        <v>129.3937266187047</v>
      </c>
      <c r="AU46" s="302">
        <f t="shared" si="42"/>
        <v>129.3937266187047</v>
      </c>
      <c r="AV46" s="302">
        <f t="shared" si="42"/>
        <v>129.3937266187047</v>
      </c>
      <c r="AW46" s="302">
        <f t="shared" si="43"/>
        <v>129.3937266187047</v>
      </c>
      <c r="AX46" s="302">
        <f t="shared" si="43"/>
        <v>129.3937266187047</v>
      </c>
      <c r="AY46" s="302">
        <f t="shared" si="43"/>
        <v>129.3937266187047</v>
      </c>
      <c r="AZ46" s="302">
        <f t="shared" si="43"/>
        <v>129.3937266187047</v>
      </c>
      <c r="BA46" s="302">
        <f t="shared" si="43"/>
        <v>129.3937266187047</v>
      </c>
      <c r="BB46" s="302">
        <f t="shared" si="43"/>
        <v>129.3937266187047</v>
      </c>
      <c r="BC46" s="302">
        <f t="shared" si="43"/>
        <v>129.3937266187047</v>
      </c>
      <c r="BD46" s="302">
        <f t="shared" si="43"/>
        <v>129.3937266187047</v>
      </c>
      <c r="BE46" s="302">
        <f t="shared" si="43"/>
        <v>129.3937266187047</v>
      </c>
      <c r="BF46" s="302">
        <f t="shared" si="43"/>
        <v>129.3937266187047</v>
      </c>
      <c r="BG46" s="302">
        <f t="shared" si="43"/>
        <v>129.3937266187047</v>
      </c>
      <c r="BH46" s="302">
        <f t="shared" si="43"/>
        <v>129.3937266187047</v>
      </c>
      <c r="BI46" s="302">
        <f t="shared" si="43"/>
        <v>129.3937266187047</v>
      </c>
      <c r="BJ46" s="302">
        <f t="shared" si="43"/>
        <v>129.3937266187047</v>
      </c>
      <c r="BK46" s="302">
        <f t="shared" si="43"/>
        <v>129.3937266187047</v>
      </c>
      <c r="BL46" s="302">
        <f t="shared" si="43"/>
        <v>129.3937266187047</v>
      </c>
      <c r="BM46" s="302">
        <f t="shared" si="43"/>
        <v>129.3937266187047</v>
      </c>
      <c r="BN46" s="302">
        <f t="shared" si="43"/>
        <v>129.3937266187047</v>
      </c>
      <c r="BO46" s="302">
        <f t="shared" si="43"/>
        <v>129.3937266187047</v>
      </c>
      <c r="BP46" s="302">
        <f t="shared" si="43"/>
        <v>129.3937266187047</v>
      </c>
      <c r="BQ46" s="302">
        <f t="shared" si="43"/>
        <v>129.3937266187047</v>
      </c>
      <c r="BR46" s="302">
        <f t="shared" si="43"/>
        <v>129.3937266187047</v>
      </c>
      <c r="BS46" s="302">
        <f t="shared" si="43"/>
        <v>129.3937266187047</v>
      </c>
      <c r="BT46" s="302">
        <f t="shared" si="43"/>
        <v>129.3937266187047</v>
      </c>
      <c r="BU46" s="302">
        <f t="shared" si="43"/>
        <v>129.3937266187047</v>
      </c>
      <c r="BV46" s="302">
        <f t="shared" si="43"/>
        <v>129.3937266187047</v>
      </c>
      <c r="BW46" s="302">
        <f t="shared" si="43"/>
        <v>129.3937266187047</v>
      </c>
      <c r="BX46" s="302">
        <f t="shared" si="43"/>
        <v>129.3937266187047</v>
      </c>
      <c r="BY46" s="302">
        <f t="shared" si="43"/>
        <v>129.3937266187047</v>
      </c>
      <c r="BZ46" s="302">
        <f t="shared" si="43"/>
        <v>129.3937266187047</v>
      </c>
      <c r="CA46" s="302">
        <f t="shared" si="43"/>
        <v>129.3937266187047</v>
      </c>
      <c r="CB46" s="302">
        <f t="shared" si="43"/>
        <v>129.3937266187047</v>
      </c>
      <c r="CC46" s="302">
        <f t="shared" si="43"/>
        <v>129.3937266187047</v>
      </c>
      <c r="CD46" s="302">
        <f t="shared" si="43"/>
        <v>129.3937266187047</v>
      </c>
      <c r="CE46" s="302">
        <f t="shared" si="43"/>
        <v>129.3937266187047</v>
      </c>
      <c r="CF46" s="302">
        <f t="shared" si="43"/>
        <v>129.3937266187047</v>
      </c>
      <c r="CG46" s="302">
        <f t="shared" si="43"/>
        <v>129.3937266187047</v>
      </c>
      <c r="CH46" s="302">
        <f t="shared" si="43"/>
        <v>129.3937266187047</v>
      </c>
      <c r="CI46" s="302">
        <f t="shared" si="43"/>
        <v>129.3937266187047</v>
      </c>
      <c r="CJ46" s="302">
        <f t="shared" si="43"/>
        <v>129.3937266187047</v>
      </c>
      <c r="CK46" s="302"/>
      <c r="CL46" s="302"/>
      <c r="CM46" s="302"/>
      <c r="CN46" s="302"/>
      <c r="CO46" s="302"/>
      <c r="CP46" s="302"/>
      <c r="CQ46" s="296"/>
    </row>
    <row r="47" spans="1:99" hidden="1" x14ac:dyDescent="0.25">
      <c r="A47" s="397" t="s">
        <v>348</v>
      </c>
      <c r="B47" s="397" t="s">
        <v>349</v>
      </c>
      <c r="C47" s="397">
        <v>10566</v>
      </c>
      <c r="D47" s="398"/>
      <c r="E47" s="397" t="s">
        <v>364</v>
      </c>
      <c r="F47" s="397" t="s">
        <v>332</v>
      </c>
      <c r="G47" s="317">
        <v>1880</v>
      </c>
      <c r="H47" s="317">
        <f t="shared" si="6"/>
        <v>2256</v>
      </c>
      <c r="I47" s="302">
        <f t="shared" si="0"/>
        <v>91.971223021582773</v>
      </c>
      <c r="J47" s="302">
        <f t="shared" si="4"/>
        <v>20.233669064748209</v>
      </c>
      <c r="K47" s="302">
        <f t="shared" si="5"/>
        <v>112.20489208633099</v>
      </c>
      <c r="L47" s="302">
        <f t="shared" si="34"/>
        <v>112.20489208633099</v>
      </c>
      <c r="M47" s="302">
        <f t="shared" si="35"/>
        <v>112.20489208633099</v>
      </c>
      <c r="N47" s="302">
        <f t="shared" si="36"/>
        <v>112.20489208633099</v>
      </c>
      <c r="O47" s="302">
        <f t="shared" si="37"/>
        <v>112.20489208633099</v>
      </c>
      <c r="P47" s="302">
        <f t="shared" si="38"/>
        <v>112.20489208633099</v>
      </c>
      <c r="Q47" s="302">
        <f t="shared" si="38"/>
        <v>112.20489208633099</v>
      </c>
      <c r="R47" s="302">
        <f t="shared" si="38"/>
        <v>112.20489208633099</v>
      </c>
      <c r="S47" s="302">
        <f t="shared" si="38"/>
        <v>112.20489208633099</v>
      </c>
      <c r="T47" s="302">
        <f t="shared" si="38"/>
        <v>112.20489208633099</v>
      </c>
      <c r="U47" s="302">
        <f t="shared" si="38"/>
        <v>112.20489208633099</v>
      </c>
      <c r="V47" s="302">
        <f t="shared" si="38"/>
        <v>112.20489208633099</v>
      </c>
      <c r="W47" s="302">
        <f t="shared" si="38"/>
        <v>112.20489208633099</v>
      </c>
      <c r="X47" s="302">
        <f t="shared" si="38"/>
        <v>112.20489208633099</v>
      </c>
      <c r="Y47" s="302">
        <f t="shared" si="38"/>
        <v>112.20489208633099</v>
      </c>
      <c r="Z47" s="302">
        <f t="shared" si="38"/>
        <v>112.20489208633099</v>
      </c>
      <c r="AA47" s="302">
        <f t="shared" si="38"/>
        <v>112.20489208633099</v>
      </c>
      <c r="AB47" s="302">
        <f t="shared" si="38"/>
        <v>112.20489208633099</v>
      </c>
      <c r="AC47" s="302">
        <f t="shared" si="38"/>
        <v>112.20489208633099</v>
      </c>
      <c r="AD47" s="302">
        <f t="shared" si="38"/>
        <v>112.20489208633099</v>
      </c>
      <c r="AE47" s="302">
        <f t="shared" si="38"/>
        <v>112.20489208633099</v>
      </c>
      <c r="AF47" s="302">
        <f t="shared" si="39"/>
        <v>112.20489208633099</v>
      </c>
      <c r="AG47" s="302">
        <f t="shared" si="42"/>
        <v>112.20489208633099</v>
      </c>
      <c r="AH47" s="302">
        <f t="shared" si="42"/>
        <v>112.20489208633099</v>
      </c>
      <c r="AI47" s="302">
        <f t="shared" si="42"/>
        <v>112.20489208633099</v>
      </c>
      <c r="AJ47" s="302">
        <f t="shared" si="42"/>
        <v>112.20489208633099</v>
      </c>
      <c r="AK47" s="302">
        <f t="shared" si="42"/>
        <v>112.20489208633099</v>
      </c>
      <c r="AL47" s="302">
        <v>0</v>
      </c>
      <c r="AM47" s="302">
        <v>0</v>
      </c>
      <c r="AN47" s="302">
        <v>0</v>
      </c>
      <c r="AO47" s="302">
        <v>0</v>
      </c>
      <c r="AP47" s="302">
        <v>0</v>
      </c>
      <c r="AQ47" s="302">
        <v>0</v>
      </c>
      <c r="AR47" s="302">
        <v>0</v>
      </c>
      <c r="AS47" s="302">
        <v>0</v>
      </c>
      <c r="AT47" s="302">
        <v>0</v>
      </c>
      <c r="AU47" s="302">
        <v>0</v>
      </c>
      <c r="AV47" s="302">
        <v>0</v>
      </c>
      <c r="AW47" s="302">
        <v>0</v>
      </c>
      <c r="AX47" s="302">
        <v>0</v>
      </c>
      <c r="AY47" s="302">
        <v>0</v>
      </c>
      <c r="AZ47" s="302">
        <v>0</v>
      </c>
      <c r="BA47" s="302">
        <v>0</v>
      </c>
      <c r="BB47" s="302">
        <v>0</v>
      </c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 t="s">
        <v>556</v>
      </c>
      <c r="BN47" s="302" t="s">
        <v>556</v>
      </c>
      <c r="BO47" s="302" t="s">
        <v>556</v>
      </c>
      <c r="BP47" s="302" t="s">
        <v>556</v>
      </c>
      <c r="BQ47" s="302" t="s">
        <v>556</v>
      </c>
      <c r="BR47" s="302" t="s">
        <v>556</v>
      </c>
      <c r="BS47" s="302" t="s">
        <v>556</v>
      </c>
      <c r="BT47" s="302" t="s">
        <v>556</v>
      </c>
      <c r="BU47" s="302" t="s">
        <v>556</v>
      </c>
      <c r="BV47" s="302" t="s">
        <v>556</v>
      </c>
      <c r="BW47" s="302" t="s">
        <v>556</v>
      </c>
      <c r="BX47" s="302" t="s">
        <v>556</v>
      </c>
      <c r="BY47" s="302" t="s">
        <v>556</v>
      </c>
      <c r="BZ47" s="302" t="s">
        <v>556</v>
      </c>
      <c r="CA47" s="302" t="s">
        <v>556</v>
      </c>
      <c r="CB47" s="302" t="s">
        <v>556</v>
      </c>
      <c r="CC47" s="302" t="s">
        <v>556</v>
      </c>
      <c r="CD47" s="302" t="s">
        <v>556</v>
      </c>
      <c r="CE47" s="302" t="s">
        <v>556</v>
      </c>
      <c r="CF47" s="302" t="s">
        <v>556</v>
      </c>
      <c r="CG47" s="302" t="s">
        <v>556</v>
      </c>
      <c r="CH47" s="302" t="s">
        <v>556</v>
      </c>
      <c r="CI47" s="302" t="s">
        <v>556</v>
      </c>
      <c r="CJ47" s="302" t="s">
        <v>556</v>
      </c>
      <c r="CK47" s="302"/>
      <c r="CL47" s="302"/>
      <c r="CM47" s="302"/>
      <c r="CN47" s="302"/>
      <c r="CO47" s="302"/>
      <c r="CP47" s="302"/>
      <c r="CQ47" s="304">
        <v>43455</v>
      </c>
    </row>
    <row r="48" spans="1:99" hidden="1" x14ac:dyDescent="0.25">
      <c r="A48" s="395" t="s">
        <v>348</v>
      </c>
      <c r="B48" s="395" t="s">
        <v>349</v>
      </c>
      <c r="C48" s="395">
        <v>10566</v>
      </c>
      <c r="D48" s="396">
        <v>106647</v>
      </c>
      <c r="E48" s="796" t="s">
        <v>365</v>
      </c>
      <c r="F48" s="395" t="s">
        <v>366</v>
      </c>
      <c r="G48" s="301">
        <v>1689</v>
      </c>
      <c r="H48" s="301">
        <f t="shared" si="6"/>
        <v>2026.8</v>
      </c>
      <c r="I48" s="302">
        <f t="shared" si="0"/>
        <v>82.627338129496366</v>
      </c>
      <c r="J48" s="302">
        <f t="shared" si="4"/>
        <v>18.178014388489199</v>
      </c>
      <c r="K48" s="302">
        <f t="shared" si="5"/>
        <v>100.80535251798557</v>
      </c>
      <c r="L48" s="302">
        <f t="shared" si="34"/>
        <v>100.80535251798557</v>
      </c>
      <c r="M48" s="302">
        <f t="shared" si="35"/>
        <v>100.80535251798557</v>
      </c>
      <c r="N48" s="302">
        <f t="shared" si="36"/>
        <v>100.80535251798557</v>
      </c>
      <c r="O48" s="302">
        <f t="shared" si="37"/>
        <v>100.80535251798557</v>
      </c>
      <c r="P48" s="302">
        <f t="shared" si="38"/>
        <v>100.80535251798557</v>
      </c>
      <c r="Q48" s="302">
        <f t="shared" si="38"/>
        <v>100.80535251798557</v>
      </c>
      <c r="R48" s="302">
        <f t="shared" si="38"/>
        <v>100.80535251798557</v>
      </c>
      <c r="S48" s="302">
        <f t="shared" si="38"/>
        <v>100.80535251798557</v>
      </c>
      <c r="T48" s="302">
        <f t="shared" si="38"/>
        <v>100.80535251798557</v>
      </c>
      <c r="U48" s="302">
        <f t="shared" si="38"/>
        <v>100.80535251798557</v>
      </c>
      <c r="V48" s="302">
        <f t="shared" si="38"/>
        <v>100.80535251798557</v>
      </c>
      <c r="W48" s="302">
        <f t="shared" si="38"/>
        <v>100.80535251798557</v>
      </c>
      <c r="X48" s="302">
        <f t="shared" si="38"/>
        <v>100.80535251798557</v>
      </c>
      <c r="Y48" s="302">
        <f t="shared" si="38"/>
        <v>100.80535251798557</v>
      </c>
      <c r="Z48" s="302">
        <f t="shared" si="38"/>
        <v>100.80535251798557</v>
      </c>
      <c r="AA48" s="302">
        <f t="shared" si="38"/>
        <v>100.80535251798557</v>
      </c>
      <c r="AB48" s="302">
        <f t="shared" si="38"/>
        <v>100.80535251798557</v>
      </c>
      <c r="AC48" s="302">
        <f t="shared" si="38"/>
        <v>100.80535251798557</v>
      </c>
      <c r="AD48" s="302">
        <f t="shared" si="38"/>
        <v>100.80535251798557</v>
      </c>
      <c r="AE48" s="302">
        <f t="shared" si="38"/>
        <v>100.80535251798557</v>
      </c>
      <c r="AF48" s="302">
        <f t="shared" si="39"/>
        <v>100.80535251798557</v>
      </c>
      <c r="AG48" s="302">
        <f t="shared" si="42"/>
        <v>100.80535251798557</v>
      </c>
      <c r="AH48" s="302">
        <f t="shared" si="42"/>
        <v>100.80535251798557</v>
      </c>
      <c r="AI48" s="302">
        <f t="shared" si="42"/>
        <v>100.80535251798557</v>
      </c>
      <c r="AJ48" s="302">
        <f t="shared" si="42"/>
        <v>100.80535251798557</v>
      </c>
      <c r="AK48" s="302">
        <f t="shared" si="42"/>
        <v>100.80535251798557</v>
      </c>
      <c r="AL48" s="302">
        <f t="shared" si="42"/>
        <v>100.80535251798557</v>
      </c>
      <c r="AM48" s="302">
        <f t="shared" si="42"/>
        <v>100.80535251798557</v>
      </c>
      <c r="AN48" s="302">
        <f t="shared" si="42"/>
        <v>100.80535251798557</v>
      </c>
      <c r="AO48" s="302">
        <f t="shared" si="42"/>
        <v>100.80535251798557</v>
      </c>
      <c r="AP48" s="302">
        <f t="shared" si="42"/>
        <v>100.80535251798557</v>
      </c>
      <c r="AQ48" s="302">
        <f t="shared" si="42"/>
        <v>100.80535251798557</v>
      </c>
      <c r="AR48" s="302">
        <f t="shared" si="42"/>
        <v>100.80535251798557</v>
      </c>
      <c r="AS48" s="302">
        <f t="shared" si="42"/>
        <v>100.80535251798557</v>
      </c>
      <c r="AT48" s="302">
        <f t="shared" si="42"/>
        <v>100.80535251798557</v>
      </c>
      <c r="AU48" s="302">
        <f t="shared" si="42"/>
        <v>100.80535251798557</v>
      </c>
      <c r="AV48" s="302">
        <f t="shared" si="42"/>
        <v>100.80535251798557</v>
      </c>
      <c r="AW48" s="302">
        <f t="shared" ref="AW48:BC48" si="44">AU48</f>
        <v>100.80535251798557</v>
      </c>
      <c r="AX48" s="302">
        <f t="shared" si="44"/>
        <v>100.80535251798557</v>
      </c>
      <c r="AY48" s="302">
        <f t="shared" si="44"/>
        <v>100.80535251798557</v>
      </c>
      <c r="AZ48" s="302">
        <f t="shared" si="44"/>
        <v>100.80535251798557</v>
      </c>
      <c r="BA48" s="302">
        <f t="shared" si="44"/>
        <v>100.80535251798557</v>
      </c>
      <c r="BB48" s="302">
        <f t="shared" si="44"/>
        <v>100.80535251798557</v>
      </c>
      <c r="BC48" s="302">
        <f t="shared" si="44"/>
        <v>100.80535251798557</v>
      </c>
      <c r="BD48" s="302">
        <f t="shared" si="43"/>
        <v>100.80535251798557</v>
      </c>
      <c r="BE48" s="302">
        <f t="shared" si="43"/>
        <v>100.80535251798557</v>
      </c>
      <c r="BF48" s="302">
        <f t="shared" si="43"/>
        <v>100.80535251798557</v>
      </c>
      <c r="BG48" s="302">
        <f t="shared" si="43"/>
        <v>100.80535251798557</v>
      </c>
      <c r="BH48" s="302">
        <f t="shared" si="43"/>
        <v>100.80535251798557</v>
      </c>
      <c r="BI48" s="302">
        <f t="shared" si="43"/>
        <v>100.80535251798557</v>
      </c>
      <c r="BJ48" s="302">
        <f t="shared" si="43"/>
        <v>100.80535251798557</v>
      </c>
      <c r="BK48" s="302">
        <f t="shared" si="43"/>
        <v>100.80535251798557</v>
      </c>
      <c r="BL48" s="302">
        <f t="shared" si="43"/>
        <v>100.80535251798557</v>
      </c>
      <c r="BM48" s="302">
        <f t="shared" si="43"/>
        <v>100.80535251798557</v>
      </c>
      <c r="BN48" s="302">
        <f t="shared" si="43"/>
        <v>100.80535251798557</v>
      </c>
      <c r="BO48" s="302">
        <f t="shared" si="43"/>
        <v>100.80535251798557</v>
      </c>
      <c r="BP48" s="302">
        <f t="shared" si="43"/>
        <v>100.80535251798557</v>
      </c>
      <c r="BQ48" s="302">
        <f t="shared" si="43"/>
        <v>100.80535251798557</v>
      </c>
      <c r="BR48" s="302">
        <f t="shared" si="43"/>
        <v>100.80535251798557</v>
      </c>
      <c r="BS48" s="302">
        <f t="shared" si="43"/>
        <v>100.80535251798557</v>
      </c>
      <c r="BT48" s="302">
        <f t="shared" si="43"/>
        <v>100.80535251798557</v>
      </c>
      <c r="BU48" s="302">
        <f t="shared" si="43"/>
        <v>100.80535251798557</v>
      </c>
      <c r="BV48" s="302">
        <f t="shared" si="43"/>
        <v>100.80535251798557</v>
      </c>
      <c r="BW48" s="302">
        <f t="shared" si="43"/>
        <v>100.80535251798557</v>
      </c>
      <c r="BX48" s="302">
        <f t="shared" si="43"/>
        <v>100.80535251798557</v>
      </c>
      <c r="BY48" s="302">
        <f t="shared" si="43"/>
        <v>100.80535251798557</v>
      </c>
      <c r="BZ48" s="302">
        <f t="shared" si="43"/>
        <v>100.80535251798557</v>
      </c>
      <c r="CA48" s="302">
        <f t="shared" si="43"/>
        <v>100.80535251798557</v>
      </c>
      <c r="CB48" s="302">
        <f t="shared" si="43"/>
        <v>100.80535251798557</v>
      </c>
      <c r="CC48" s="302">
        <f t="shared" si="43"/>
        <v>100.80535251798557</v>
      </c>
      <c r="CD48" s="302">
        <f t="shared" si="43"/>
        <v>100.80535251798557</v>
      </c>
      <c r="CE48" s="302">
        <f t="shared" si="43"/>
        <v>100.80535251798557</v>
      </c>
      <c r="CF48" s="302">
        <f t="shared" si="43"/>
        <v>100.80535251798557</v>
      </c>
      <c r="CG48" s="302">
        <f t="shared" si="43"/>
        <v>100.80535251798557</v>
      </c>
      <c r="CH48" s="302">
        <f t="shared" si="43"/>
        <v>100.80535251798557</v>
      </c>
      <c r="CI48" s="302">
        <f t="shared" si="43"/>
        <v>100.80535251798557</v>
      </c>
      <c r="CJ48" s="302">
        <f t="shared" si="43"/>
        <v>100.80535251798557</v>
      </c>
      <c r="CK48" s="302"/>
      <c r="CL48" s="302"/>
      <c r="CM48" s="302"/>
      <c r="CN48" s="302"/>
      <c r="CO48" s="302"/>
      <c r="CP48" s="302"/>
      <c r="CQ48" s="296"/>
    </row>
    <row r="49" spans="1:97" hidden="1" x14ac:dyDescent="0.25">
      <c r="A49" s="397" t="s">
        <v>348</v>
      </c>
      <c r="B49" s="397" t="s">
        <v>349</v>
      </c>
      <c r="C49" s="397">
        <v>10566</v>
      </c>
      <c r="D49" s="398">
        <v>104597</v>
      </c>
      <c r="E49" s="397" t="s">
        <v>367</v>
      </c>
      <c r="F49" s="395" t="s">
        <v>368</v>
      </c>
      <c r="G49" s="301">
        <v>2083</v>
      </c>
      <c r="H49" s="301">
        <f t="shared" si="6"/>
        <v>2499.6</v>
      </c>
      <c r="I49" s="302">
        <f t="shared" si="0"/>
        <v>101.90215827338125</v>
      </c>
      <c r="J49" s="302">
        <f t="shared" si="4"/>
        <v>22.418474820143874</v>
      </c>
      <c r="K49" s="302">
        <f t="shared" si="5"/>
        <v>124.32063309352512</v>
      </c>
      <c r="L49" s="302">
        <f t="shared" si="34"/>
        <v>124.32063309352512</v>
      </c>
      <c r="M49" s="302">
        <f t="shared" si="35"/>
        <v>124.32063309352512</v>
      </c>
      <c r="N49" s="302">
        <f t="shared" si="36"/>
        <v>124.32063309352512</v>
      </c>
      <c r="O49" s="302">
        <f t="shared" si="37"/>
        <v>124.32063309352512</v>
      </c>
      <c r="P49" s="302">
        <f t="shared" si="38"/>
        <v>124.32063309352512</v>
      </c>
      <c r="Q49" s="302">
        <f t="shared" si="38"/>
        <v>124.32063309352512</v>
      </c>
      <c r="R49" s="302">
        <f t="shared" si="38"/>
        <v>124.32063309352512</v>
      </c>
      <c r="S49" s="302">
        <f t="shared" si="38"/>
        <v>124.32063309352512</v>
      </c>
      <c r="T49" s="302">
        <f t="shared" si="38"/>
        <v>124.32063309352512</v>
      </c>
      <c r="U49" s="302">
        <f t="shared" si="38"/>
        <v>124.32063309352512</v>
      </c>
      <c r="V49" s="302">
        <f t="shared" si="38"/>
        <v>124.32063309352512</v>
      </c>
      <c r="W49" s="302">
        <f t="shared" si="38"/>
        <v>124.32063309352512</v>
      </c>
      <c r="X49" s="302">
        <f t="shared" si="38"/>
        <v>124.32063309352512</v>
      </c>
      <c r="Y49" s="302">
        <f t="shared" si="38"/>
        <v>124.32063309352512</v>
      </c>
      <c r="Z49" s="302">
        <f t="shared" si="38"/>
        <v>124.32063309352512</v>
      </c>
      <c r="AA49" s="302">
        <f t="shared" si="38"/>
        <v>124.32063309352512</v>
      </c>
      <c r="AB49" s="302">
        <f t="shared" si="38"/>
        <v>124.32063309352512</v>
      </c>
      <c r="AC49" s="302">
        <f t="shared" si="38"/>
        <v>124.32063309352512</v>
      </c>
      <c r="AD49" s="303">
        <f>($CR49/AD$2)*$K49</f>
        <v>70.448358752997564</v>
      </c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4">
        <v>43207</v>
      </c>
      <c r="CR49" s="295">
        <v>17</v>
      </c>
    </row>
    <row r="50" spans="1:97" hidden="1" x14ac:dyDescent="0.25">
      <c r="A50" s="397" t="s">
        <v>348</v>
      </c>
      <c r="B50" s="397" t="s">
        <v>349</v>
      </c>
      <c r="C50" s="397">
        <v>10566</v>
      </c>
      <c r="D50" s="398"/>
      <c r="E50" s="397" t="s">
        <v>369</v>
      </c>
      <c r="F50" s="397" t="s">
        <v>370</v>
      </c>
      <c r="G50" s="317">
        <v>1888</v>
      </c>
      <c r="H50" s="317">
        <f t="shared" si="6"/>
        <v>2265.6</v>
      </c>
      <c r="I50" s="302">
        <f t="shared" si="0"/>
        <v>92.362589928057332</v>
      </c>
      <c r="J50" s="302">
        <f t="shared" si="4"/>
        <v>20.319769784172614</v>
      </c>
      <c r="K50" s="302">
        <f t="shared" si="5"/>
        <v>112.68235971222995</v>
      </c>
      <c r="L50" s="302">
        <f t="shared" si="34"/>
        <v>112.68235971222995</v>
      </c>
      <c r="M50" s="302">
        <f t="shared" si="35"/>
        <v>112.68235971222995</v>
      </c>
      <c r="N50" s="302">
        <f t="shared" si="36"/>
        <v>112.68235971222995</v>
      </c>
      <c r="O50" s="302">
        <f t="shared" si="37"/>
        <v>112.68235971222995</v>
      </c>
      <c r="P50" s="302">
        <f t="shared" si="38"/>
        <v>112.68235971222995</v>
      </c>
      <c r="Q50" s="302">
        <f t="shared" si="38"/>
        <v>112.68235971222995</v>
      </c>
      <c r="R50" s="302">
        <f t="shared" si="38"/>
        <v>112.68235971222995</v>
      </c>
      <c r="S50" s="302">
        <f t="shared" si="38"/>
        <v>112.68235971222995</v>
      </c>
      <c r="T50" s="302">
        <f t="shared" si="38"/>
        <v>112.68235971222995</v>
      </c>
      <c r="U50" s="302">
        <f t="shared" si="38"/>
        <v>112.68235971222995</v>
      </c>
      <c r="V50" s="302">
        <f t="shared" si="38"/>
        <v>112.68235971222995</v>
      </c>
      <c r="W50" s="302">
        <f t="shared" si="38"/>
        <v>112.68235971222995</v>
      </c>
      <c r="X50" s="302">
        <f t="shared" si="38"/>
        <v>112.68235971222995</v>
      </c>
      <c r="Y50" s="302">
        <f t="shared" si="38"/>
        <v>112.68235971222995</v>
      </c>
      <c r="Z50" s="302">
        <f t="shared" si="38"/>
        <v>112.68235971222995</v>
      </c>
      <c r="AA50" s="302">
        <f t="shared" si="38"/>
        <v>112.68235971222995</v>
      </c>
      <c r="AB50" s="302">
        <f t="shared" si="38"/>
        <v>112.68235971222995</v>
      </c>
      <c r="AC50" s="302">
        <f t="shared" si="38"/>
        <v>112.68235971222995</v>
      </c>
      <c r="AD50" s="302">
        <f t="shared" si="38"/>
        <v>112.68235971222995</v>
      </c>
      <c r="AE50" s="302">
        <f t="shared" si="38"/>
        <v>112.68235971222995</v>
      </c>
      <c r="AF50" s="302">
        <f t="shared" si="39"/>
        <v>112.68235971222995</v>
      </c>
      <c r="AG50" s="302">
        <f t="shared" ref="AG50:AV55" si="45">AE50</f>
        <v>112.68235971222995</v>
      </c>
      <c r="AH50" s="302">
        <v>0</v>
      </c>
      <c r="AI50" s="302">
        <v>0</v>
      </c>
      <c r="AJ50" s="302">
        <f t="shared" si="45"/>
        <v>0</v>
      </c>
      <c r="AK50" s="302">
        <f t="shared" si="45"/>
        <v>0</v>
      </c>
      <c r="AL50" s="302">
        <f t="shared" si="45"/>
        <v>0</v>
      </c>
      <c r="AM50" s="302">
        <f t="shared" si="45"/>
        <v>0</v>
      </c>
      <c r="AN50" s="302">
        <f t="shared" si="45"/>
        <v>0</v>
      </c>
      <c r="AO50" s="302">
        <f t="shared" si="45"/>
        <v>0</v>
      </c>
      <c r="AP50" s="302">
        <f t="shared" si="45"/>
        <v>0</v>
      </c>
      <c r="AQ50" s="302">
        <f t="shared" si="45"/>
        <v>0</v>
      </c>
      <c r="AR50" s="302">
        <f t="shared" si="45"/>
        <v>0</v>
      </c>
      <c r="AS50" s="302">
        <f t="shared" si="45"/>
        <v>0</v>
      </c>
      <c r="AT50" s="302">
        <f t="shared" si="45"/>
        <v>0</v>
      </c>
      <c r="AU50" s="302">
        <f t="shared" si="45"/>
        <v>0</v>
      </c>
      <c r="AV50" s="302">
        <f t="shared" si="45"/>
        <v>0</v>
      </c>
      <c r="AW50" s="302">
        <f t="shared" ref="AW50:BB50" si="46">AU50</f>
        <v>0</v>
      </c>
      <c r="AX50" s="302">
        <f t="shared" si="46"/>
        <v>0</v>
      </c>
      <c r="AY50" s="302">
        <f t="shared" si="46"/>
        <v>0</v>
      </c>
      <c r="AZ50" s="302">
        <f t="shared" si="46"/>
        <v>0</v>
      </c>
      <c r="BA50" s="302">
        <f t="shared" si="46"/>
        <v>0</v>
      </c>
      <c r="BB50" s="302">
        <f t="shared" si="46"/>
        <v>0</v>
      </c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 t="s">
        <v>556</v>
      </c>
      <c r="BN50" s="302" t="s">
        <v>556</v>
      </c>
      <c r="BO50" s="302" t="s">
        <v>556</v>
      </c>
      <c r="BP50" s="302" t="s">
        <v>556</v>
      </c>
      <c r="BQ50" s="302" t="s">
        <v>556</v>
      </c>
      <c r="BR50" s="302" t="s">
        <v>556</v>
      </c>
      <c r="BS50" s="302" t="s">
        <v>556</v>
      </c>
      <c r="BT50" s="302" t="s">
        <v>556</v>
      </c>
      <c r="BU50" s="302" t="s">
        <v>556</v>
      </c>
      <c r="BV50" s="302" t="s">
        <v>556</v>
      </c>
      <c r="BW50" s="302" t="s">
        <v>556</v>
      </c>
      <c r="BX50" s="302" t="s">
        <v>556</v>
      </c>
      <c r="BY50" s="302" t="s">
        <v>556</v>
      </c>
      <c r="BZ50" s="302" t="s">
        <v>556</v>
      </c>
      <c r="CA50" s="302" t="s">
        <v>556</v>
      </c>
      <c r="CB50" s="302" t="s">
        <v>556</v>
      </c>
      <c r="CC50" s="302" t="s">
        <v>556</v>
      </c>
      <c r="CD50" s="302" t="s">
        <v>556</v>
      </c>
      <c r="CE50" s="302" t="s">
        <v>556</v>
      </c>
      <c r="CF50" s="302" t="s">
        <v>556</v>
      </c>
      <c r="CG50" s="302" t="s">
        <v>556</v>
      </c>
      <c r="CH50" s="302" t="s">
        <v>556</v>
      </c>
      <c r="CI50" s="302" t="s">
        <v>556</v>
      </c>
      <c r="CJ50" s="302" t="s">
        <v>556</v>
      </c>
      <c r="CK50" s="302"/>
      <c r="CL50" s="302"/>
      <c r="CM50" s="302"/>
      <c r="CN50" s="302"/>
      <c r="CO50" s="302"/>
      <c r="CP50" s="302"/>
      <c r="CQ50" s="304">
        <v>43315</v>
      </c>
    </row>
    <row r="51" spans="1:97" hidden="1" x14ac:dyDescent="0.25">
      <c r="A51" s="397" t="s">
        <v>348</v>
      </c>
      <c r="B51" s="397" t="s">
        <v>349</v>
      </c>
      <c r="C51" s="397">
        <v>10566</v>
      </c>
      <c r="D51" s="398"/>
      <c r="E51" s="397" t="s">
        <v>371</v>
      </c>
      <c r="F51" s="397" t="s">
        <v>372</v>
      </c>
      <c r="G51" s="399">
        <v>2393</v>
      </c>
      <c r="H51" s="317">
        <f t="shared" si="6"/>
        <v>2871.6</v>
      </c>
      <c r="I51" s="302">
        <f t="shared" si="0"/>
        <v>117.0676258992803</v>
      </c>
      <c r="J51" s="302">
        <f t="shared" si="4"/>
        <v>25.754877697841668</v>
      </c>
      <c r="K51" s="302">
        <f t="shared" si="5"/>
        <v>142.82250359712197</v>
      </c>
      <c r="L51" s="302">
        <f t="shared" si="34"/>
        <v>142.82250359712197</v>
      </c>
      <c r="M51" s="302">
        <f t="shared" si="35"/>
        <v>142.82250359712197</v>
      </c>
      <c r="N51" s="302">
        <f t="shared" si="36"/>
        <v>142.82250359712197</v>
      </c>
      <c r="O51" s="302">
        <f t="shared" si="37"/>
        <v>142.82250359712197</v>
      </c>
      <c r="P51" s="302">
        <f t="shared" si="38"/>
        <v>142.82250359712197</v>
      </c>
      <c r="Q51" s="302">
        <f t="shared" si="38"/>
        <v>142.82250359712197</v>
      </c>
      <c r="R51" s="302">
        <f t="shared" si="38"/>
        <v>142.82250359712197</v>
      </c>
      <c r="S51" s="302">
        <f t="shared" si="38"/>
        <v>142.82250359712197</v>
      </c>
      <c r="T51" s="302">
        <f t="shared" si="38"/>
        <v>142.82250359712197</v>
      </c>
      <c r="U51" s="302">
        <f t="shared" si="38"/>
        <v>142.82250359712197</v>
      </c>
      <c r="V51" s="302">
        <f t="shared" si="38"/>
        <v>142.82250359712197</v>
      </c>
      <c r="W51" s="302">
        <f t="shared" si="38"/>
        <v>142.82250359712197</v>
      </c>
      <c r="X51" s="302">
        <f t="shared" si="38"/>
        <v>142.82250359712197</v>
      </c>
      <c r="Y51" s="302">
        <f t="shared" si="38"/>
        <v>142.82250359712197</v>
      </c>
      <c r="Z51" s="302">
        <f t="shared" si="38"/>
        <v>142.82250359712197</v>
      </c>
      <c r="AA51" s="302">
        <f t="shared" si="38"/>
        <v>142.82250359712197</v>
      </c>
      <c r="AB51" s="302">
        <f t="shared" si="38"/>
        <v>142.82250359712197</v>
      </c>
      <c r="AC51" s="302">
        <f t="shared" si="38"/>
        <v>142.82250359712197</v>
      </c>
      <c r="AD51" s="302">
        <f t="shared" si="38"/>
        <v>142.82250359712197</v>
      </c>
      <c r="AE51" s="302">
        <f t="shared" si="38"/>
        <v>142.82250359712197</v>
      </c>
      <c r="AF51" s="302">
        <f t="shared" si="39"/>
        <v>142.82250359712197</v>
      </c>
      <c r="AG51" s="302">
        <f t="shared" si="45"/>
        <v>142.82250359712197</v>
      </c>
      <c r="AH51" s="302">
        <f t="shared" si="45"/>
        <v>142.82250359712197</v>
      </c>
      <c r="AI51" s="302">
        <f t="shared" si="45"/>
        <v>142.82250359712197</v>
      </c>
      <c r="AJ51" s="302">
        <f t="shared" si="45"/>
        <v>142.82250359712197</v>
      </c>
      <c r="AK51" s="302">
        <f t="shared" si="45"/>
        <v>142.82250359712197</v>
      </c>
      <c r="AL51" s="302">
        <f t="shared" si="45"/>
        <v>142.82250359712197</v>
      </c>
      <c r="AM51" s="302">
        <f t="shared" si="45"/>
        <v>142.82250359712197</v>
      </c>
      <c r="AN51" s="302">
        <f t="shared" si="45"/>
        <v>142.82250359712197</v>
      </c>
      <c r="AO51" s="302">
        <f t="shared" si="45"/>
        <v>142.82250359712197</v>
      </c>
      <c r="AP51" s="302">
        <f t="shared" si="45"/>
        <v>142.82250359712197</v>
      </c>
      <c r="AQ51" s="302">
        <f t="shared" si="45"/>
        <v>142.82250359712197</v>
      </c>
      <c r="AR51" s="302">
        <f t="shared" si="45"/>
        <v>142.82250359712197</v>
      </c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 t="s">
        <v>556</v>
      </c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296"/>
    </row>
    <row r="52" spans="1:97" hidden="1" x14ac:dyDescent="0.25">
      <c r="A52" s="395" t="s">
        <v>373</v>
      </c>
      <c r="B52" s="395" t="s">
        <v>293</v>
      </c>
      <c r="C52" s="395">
        <v>10574</v>
      </c>
      <c r="D52" s="396">
        <v>101324</v>
      </c>
      <c r="E52" s="796" t="s">
        <v>374</v>
      </c>
      <c r="F52" s="395" t="s">
        <v>375</v>
      </c>
      <c r="G52" s="301">
        <v>2118</v>
      </c>
      <c r="H52" s="301">
        <f t="shared" si="6"/>
        <v>2541.6</v>
      </c>
      <c r="I52" s="302">
        <f t="shared" si="0"/>
        <v>103.61438848920852</v>
      </c>
      <c r="J52" s="302">
        <f t="shared" si="4"/>
        <v>22.795165467625875</v>
      </c>
      <c r="K52" s="302">
        <f t="shared" si="5"/>
        <v>126.4095539568344</v>
      </c>
      <c r="L52" s="302">
        <f t="shared" si="34"/>
        <v>126.4095539568344</v>
      </c>
      <c r="M52" s="302">
        <f t="shared" si="35"/>
        <v>126.4095539568344</v>
      </c>
      <c r="N52" s="302">
        <f t="shared" si="36"/>
        <v>126.4095539568344</v>
      </c>
      <c r="O52" s="302">
        <f t="shared" si="37"/>
        <v>126.4095539568344</v>
      </c>
      <c r="P52" s="302">
        <f t="shared" si="38"/>
        <v>126.4095539568344</v>
      </c>
      <c r="Q52" s="302">
        <f t="shared" si="38"/>
        <v>126.4095539568344</v>
      </c>
      <c r="R52" s="302">
        <f t="shared" si="38"/>
        <v>126.4095539568344</v>
      </c>
      <c r="S52" s="302">
        <f t="shared" si="38"/>
        <v>126.4095539568344</v>
      </c>
      <c r="T52" s="302">
        <f t="shared" si="38"/>
        <v>126.4095539568344</v>
      </c>
      <c r="U52" s="302">
        <f t="shared" si="38"/>
        <v>126.4095539568344</v>
      </c>
      <c r="V52" s="302">
        <f t="shared" si="38"/>
        <v>126.4095539568344</v>
      </c>
      <c r="W52" s="302">
        <f t="shared" si="38"/>
        <v>126.4095539568344</v>
      </c>
      <c r="X52" s="302">
        <f t="shared" si="38"/>
        <v>126.4095539568344</v>
      </c>
      <c r="Y52" s="302">
        <f t="shared" si="38"/>
        <v>126.4095539568344</v>
      </c>
      <c r="Z52" s="302">
        <f t="shared" si="38"/>
        <v>126.4095539568344</v>
      </c>
      <c r="AA52" s="302">
        <f t="shared" si="38"/>
        <v>126.4095539568344</v>
      </c>
      <c r="AB52" s="302">
        <f t="shared" si="38"/>
        <v>126.4095539568344</v>
      </c>
      <c r="AC52" s="302">
        <f t="shared" si="38"/>
        <v>126.4095539568344</v>
      </c>
      <c r="AD52" s="302">
        <f t="shared" si="38"/>
        <v>126.4095539568344</v>
      </c>
      <c r="AE52" s="302">
        <f t="shared" si="38"/>
        <v>126.4095539568344</v>
      </c>
      <c r="AF52" s="302">
        <f t="shared" si="39"/>
        <v>126.4095539568344</v>
      </c>
      <c r="AG52" s="302">
        <f t="shared" si="45"/>
        <v>126.4095539568344</v>
      </c>
      <c r="AH52" s="302">
        <f t="shared" si="45"/>
        <v>126.4095539568344</v>
      </c>
      <c r="AI52" s="302">
        <f t="shared" si="45"/>
        <v>126.4095539568344</v>
      </c>
      <c r="AJ52" s="302">
        <f t="shared" si="45"/>
        <v>126.4095539568344</v>
      </c>
      <c r="AK52" s="302">
        <f t="shared" si="45"/>
        <v>126.4095539568344</v>
      </c>
      <c r="AL52" s="302">
        <f t="shared" si="45"/>
        <v>126.4095539568344</v>
      </c>
      <c r="AM52" s="302">
        <f t="shared" si="45"/>
        <v>126.4095539568344</v>
      </c>
      <c r="AN52" s="302">
        <f t="shared" si="45"/>
        <v>126.4095539568344</v>
      </c>
      <c r="AO52" s="302">
        <f t="shared" si="45"/>
        <v>126.4095539568344</v>
      </c>
      <c r="AP52" s="302">
        <f t="shared" si="45"/>
        <v>126.4095539568344</v>
      </c>
      <c r="AQ52" s="302">
        <f t="shared" si="45"/>
        <v>126.4095539568344</v>
      </c>
      <c r="AR52" s="302">
        <f t="shared" si="45"/>
        <v>126.4095539568344</v>
      </c>
      <c r="AS52" s="302">
        <f t="shared" si="45"/>
        <v>126.4095539568344</v>
      </c>
      <c r="AT52" s="302">
        <f t="shared" si="45"/>
        <v>126.4095539568344</v>
      </c>
      <c r="AU52" s="302">
        <f t="shared" si="45"/>
        <v>126.4095539568344</v>
      </c>
      <c r="AV52" s="302">
        <f t="shared" si="45"/>
        <v>126.4095539568344</v>
      </c>
      <c r="AW52" s="302">
        <f t="shared" ref="AW52:BC53" si="47">AU52</f>
        <v>126.4095539568344</v>
      </c>
      <c r="AX52" s="302">
        <f t="shared" si="47"/>
        <v>126.4095539568344</v>
      </c>
      <c r="AY52" s="302">
        <f t="shared" si="47"/>
        <v>126.4095539568344</v>
      </c>
      <c r="AZ52" s="302">
        <f t="shared" si="47"/>
        <v>126.4095539568344</v>
      </c>
      <c r="BA52" s="302">
        <f t="shared" si="47"/>
        <v>126.4095539568344</v>
      </c>
      <c r="BB52" s="302">
        <f t="shared" si="47"/>
        <v>126.4095539568344</v>
      </c>
      <c r="BC52" s="302">
        <f t="shared" si="47"/>
        <v>126.4095539568344</v>
      </c>
      <c r="BD52" s="302">
        <f>BB52</f>
        <v>126.4095539568344</v>
      </c>
      <c r="BE52" s="302">
        <f t="shared" ref="BE52:CJ53" si="48">BC52</f>
        <v>126.4095539568344</v>
      </c>
      <c r="BF52" s="302">
        <f t="shared" si="48"/>
        <v>126.4095539568344</v>
      </c>
      <c r="BG52" s="302">
        <f t="shared" si="48"/>
        <v>126.4095539568344</v>
      </c>
      <c r="BH52" s="302">
        <f t="shared" si="48"/>
        <v>126.4095539568344</v>
      </c>
      <c r="BI52" s="302">
        <f t="shared" si="48"/>
        <v>126.4095539568344</v>
      </c>
      <c r="BJ52" s="302">
        <f t="shared" si="48"/>
        <v>126.4095539568344</v>
      </c>
      <c r="BK52" s="302">
        <f t="shared" si="48"/>
        <v>126.4095539568344</v>
      </c>
      <c r="BL52" s="302">
        <f t="shared" si="48"/>
        <v>126.4095539568344</v>
      </c>
      <c r="BM52" s="302">
        <f t="shared" si="48"/>
        <v>126.4095539568344</v>
      </c>
      <c r="BN52" s="302">
        <f t="shared" si="48"/>
        <v>126.4095539568344</v>
      </c>
      <c r="BO52" s="302">
        <f t="shared" si="48"/>
        <v>126.4095539568344</v>
      </c>
      <c r="BP52" s="302">
        <f t="shared" si="48"/>
        <v>126.4095539568344</v>
      </c>
      <c r="BQ52" s="302">
        <f t="shared" si="48"/>
        <v>126.4095539568344</v>
      </c>
      <c r="BR52" s="302">
        <f t="shared" si="48"/>
        <v>126.4095539568344</v>
      </c>
      <c r="BS52" s="302">
        <f t="shared" si="48"/>
        <v>126.4095539568344</v>
      </c>
      <c r="BT52" s="302">
        <f t="shared" si="48"/>
        <v>126.4095539568344</v>
      </c>
      <c r="BU52" s="302">
        <f t="shared" si="48"/>
        <v>126.4095539568344</v>
      </c>
      <c r="BV52" s="302">
        <f t="shared" si="48"/>
        <v>126.4095539568344</v>
      </c>
      <c r="BW52" s="302">
        <f t="shared" si="48"/>
        <v>126.4095539568344</v>
      </c>
      <c r="BX52" s="302">
        <f t="shared" si="48"/>
        <v>126.4095539568344</v>
      </c>
      <c r="BY52" s="302">
        <f t="shared" si="48"/>
        <v>126.4095539568344</v>
      </c>
      <c r="BZ52" s="302">
        <f t="shared" si="48"/>
        <v>126.4095539568344</v>
      </c>
      <c r="CA52" s="302">
        <f t="shared" si="48"/>
        <v>126.4095539568344</v>
      </c>
      <c r="CB52" s="302">
        <f t="shared" si="48"/>
        <v>126.4095539568344</v>
      </c>
      <c r="CC52" s="302">
        <f t="shared" si="48"/>
        <v>126.4095539568344</v>
      </c>
      <c r="CD52" s="302">
        <f t="shared" si="48"/>
        <v>126.4095539568344</v>
      </c>
      <c r="CE52" s="302">
        <f t="shared" si="48"/>
        <v>126.4095539568344</v>
      </c>
      <c r="CF52" s="302">
        <f t="shared" si="48"/>
        <v>126.4095539568344</v>
      </c>
      <c r="CG52" s="302">
        <f t="shared" si="48"/>
        <v>126.4095539568344</v>
      </c>
      <c r="CH52" s="302">
        <f t="shared" si="48"/>
        <v>126.4095539568344</v>
      </c>
      <c r="CI52" s="302">
        <f t="shared" si="48"/>
        <v>126.4095539568344</v>
      </c>
      <c r="CJ52" s="302">
        <f t="shared" si="48"/>
        <v>126.4095539568344</v>
      </c>
      <c r="CK52" s="302"/>
      <c r="CL52" s="302"/>
      <c r="CM52" s="302"/>
      <c r="CN52" s="302"/>
      <c r="CO52" s="302"/>
      <c r="CP52" s="302"/>
      <c r="CQ52" s="296" t="s">
        <v>681</v>
      </c>
    </row>
    <row r="53" spans="1:97" x14ac:dyDescent="0.25">
      <c r="A53" s="395" t="s">
        <v>373</v>
      </c>
      <c r="B53" s="395" t="s">
        <v>293</v>
      </c>
      <c r="C53" s="395">
        <v>10571</v>
      </c>
      <c r="D53" s="396">
        <v>101370</v>
      </c>
      <c r="E53" s="796" t="s">
        <v>374</v>
      </c>
      <c r="F53" s="796" t="s">
        <v>376</v>
      </c>
      <c r="G53" s="301">
        <v>2264</v>
      </c>
      <c r="H53" s="301">
        <f t="shared" si="6"/>
        <v>2716.7999999999997</v>
      </c>
      <c r="I53" s="302">
        <f t="shared" si="0"/>
        <v>110.75683453237389</v>
      </c>
      <c r="J53" s="302">
        <f t="shared" si="4"/>
        <v>24.366503597122254</v>
      </c>
      <c r="K53" s="302">
        <f t="shared" si="5"/>
        <v>135.12333812949615</v>
      </c>
      <c r="L53" s="302">
        <f t="shared" si="34"/>
        <v>135.12333812949615</v>
      </c>
      <c r="M53" s="302">
        <f t="shared" si="35"/>
        <v>135.12333812949615</v>
      </c>
      <c r="N53" s="302">
        <f t="shared" si="36"/>
        <v>135.12333812949615</v>
      </c>
      <c r="O53" s="302">
        <f t="shared" si="37"/>
        <v>135.12333812949615</v>
      </c>
      <c r="P53" s="302">
        <f t="shared" si="38"/>
        <v>135.12333812949615</v>
      </c>
      <c r="Q53" s="302">
        <f t="shared" si="38"/>
        <v>135.12333812949615</v>
      </c>
      <c r="R53" s="302">
        <f t="shared" si="38"/>
        <v>135.12333812949615</v>
      </c>
      <c r="S53" s="302">
        <f t="shared" si="38"/>
        <v>135.12333812949615</v>
      </c>
      <c r="T53" s="302">
        <f t="shared" si="38"/>
        <v>135.12333812949615</v>
      </c>
      <c r="U53" s="302">
        <f t="shared" si="38"/>
        <v>135.12333812949615</v>
      </c>
      <c r="V53" s="302">
        <f t="shared" si="38"/>
        <v>135.12333812949615</v>
      </c>
      <c r="W53" s="302">
        <f t="shared" si="38"/>
        <v>135.12333812949615</v>
      </c>
      <c r="X53" s="302">
        <f t="shared" si="38"/>
        <v>135.12333812949615</v>
      </c>
      <c r="Y53" s="302">
        <f t="shared" si="38"/>
        <v>135.12333812949615</v>
      </c>
      <c r="Z53" s="302">
        <f t="shared" si="38"/>
        <v>135.12333812949615</v>
      </c>
      <c r="AA53" s="302">
        <f t="shared" si="38"/>
        <v>135.12333812949615</v>
      </c>
      <c r="AB53" s="302">
        <f t="shared" si="38"/>
        <v>135.12333812949615</v>
      </c>
      <c r="AC53" s="302">
        <f t="shared" si="38"/>
        <v>135.12333812949615</v>
      </c>
      <c r="AD53" s="302">
        <f t="shared" si="38"/>
        <v>135.12333812949615</v>
      </c>
      <c r="AE53" s="302">
        <f t="shared" si="38"/>
        <v>135.12333812949615</v>
      </c>
      <c r="AF53" s="302">
        <f t="shared" si="39"/>
        <v>135.12333812949615</v>
      </c>
      <c r="AG53" s="302">
        <f t="shared" si="45"/>
        <v>135.12333812949615</v>
      </c>
      <c r="AH53" s="302">
        <f t="shared" si="45"/>
        <v>135.12333812949615</v>
      </c>
      <c r="AI53" s="302">
        <f t="shared" si="45"/>
        <v>135.12333812949615</v>
      </c>
      <c r="AJ53" s="302">
        <f t="shared" si="45"/>
        <v>135.12333812949615</v>
      </c>
      <c r="AK53" s="302">
        <f t="shared" si="45"/>
        <v>135.12333812949615</v>
      </c>
      <c r="AL53" s="302">
        <f t="shared" si="45"/>
        <v>135.12333812949615</v>
      </c>
      <c r="AM53" s="302">
        <f t="shared" si="45"/>
        <v>135.12333812949615</v>
      </c>
      <c r="AN53" s="302">
        <f t="shared" si="45"/>
        <v>135.12333812949615</v>
      </c>
      <c r="AO53" s="302">
        <f t="shared" si="45"/>
        <v>135.12333812949615</v>
      </c>
      <c r="AP53" s="302">
        <f t="shared" si="45"/>
        <v>135.12333812949615</v>
      </c>
      <c r="AQ53" s="302">
        <f t="shared" si="45"/>
        <v>135.12333812949615</v>
      </c>
      <c r="AR53" s="302">
        <f t="shared" si="45"/>
        <v>135.12333812949615</v>
      </c>
      <c r="AS53" s="302">
        <f t="shared" si="45"/>
        <v>135.12333812949615</v>
      </c>
      <c r="AT53" s="302">
        <f t="shared" si="45"/>
        <v>135.12333812949615</v>
      </c>
      <c r="AU53" s="302">
        <f t="shared" si="45"/>
        <v>135.12333812949615</v>
      </c>
      <c r="AV53" s="302">
        <f t="shared" si="45"/>
        <v>135.12333812949615</v>
      </c>
      <c r="AW53" s="302">
        <f t="shared" si="47"/>
        <v>135.12333812949615</v>
      </c>
      <c r="AX53" s="302">
        <f t="shared" si="47"/>
        <v>135.12333812949615</v>
      </c>
      <c r="AY53" s="302">
        <f t="shared" si="47"/>
        <v>135.12333812949615</v>
      </c>
      <c r="AZ53" s="302">
        <f t="shared" si="47"/>
        <v>135.12333812949615</v>
      </c>
      <c r="BA53" s="302">
        <f t="shared" si="47"/>
        <v>135.12333812949615</v>
      </c>
      <c r="BB53" s="302">
        <f t="shared" si="47"/>
        <v>135.12333812949615</v>
      </c>
      <c r="BC53" s="302">
        <f t="shared" si="47"/>
        <v>135.12333812949615</v>
      </c>
      <c r="BD53" s="302">
        <f>BB53</f>
        <v>135.12333812949615</v>
      </c>
      <c r="BE53" s="302">
        <f t="shared" si="48"/>
        <v>135.12333812949615</v>
      </c>
      <c r="BF53" s="302">
        <f t="shared" si="48"/>
        <v>135.12333812949615</v>
      </c>
      <c r="BG53" s="302">
        <f t="shared" si="48"/>
        <v>135.12333812949615</v>
      </c>
      <c r="BH53" s="302">
        <f t="shared" si="48"/>
        <v>135.12333812949615</v>
      </c>
      <c r="BI53" s="302">
        <f t="shared" si="48"/>
        <v>135.12333812949615</v>
      </c>
      <c r="BJ53" s="302">
        <f t="shared" si="48"/>
        <v>135.12333812949615</v>
      </c>
      <c r="BK53" s="302">
        <f t="shared" si="48"/>
        <v>135.12333812949615</v>
      </c>
      <c r="BL53" s="302">
        <f t="shared" si="48"/>
        <v>135.12333812949615</v>
      </c>
      <c r="BM53" s="302">
        <f t="shared" si="48"/>
        <v>135.12333812949615</v>
      </c>
      <c r="BN53" s="302">
        <f t="shared" si="48"/>
        <v>135.12333812949615</v>
      </c>
      <c r="BO53" s="302">
        <f t="shared" si="48"/>
        <v>135.12333812949615</v>
      </c>
      <c r="BP53" s="302">
        <f t="shared" si="48"/>
        <v>135.12333812949615</v>
      </c>
      <c r="BQ53" s="302">
        <f t="shared" si="48"/>
        <v>135.12333812949615</v>
      </c>
      <c r="BR53" s="302">
        <f t="shared" si="48"/>
        <v>135.12333812949615</v>
      </c>
      <c r="BS53" s="302">
        <f t="shared" si="48"/>
        <v>135.12333812949615</v>
      </c>
      <c r="BT53" s="302">
        <f t="shared" si="48"/>
        <v>135.12333812949615</v>
      </c>
      <c r="BU53" s="302">
        <f t="shared" si="48"/>
        <v>135.12333812949615</v>
      </c>
      <c r="BV53" s="302">
        <f t="shared" si="48"/>
        <v>135.12333812949615</v>
      </c>
      <c r="BW53" s="302">
        <f t="shared" si="48"/>
        <v>135.12333812949615</v>
      </c>
      <c r="BX53" s="302">
        <f t="shared" si="48"/>
        <v>135.12333812949615</v>
      </c>
      <c r="BY53" s="302">
        <f t="shared" si="48"/>
        <v>135.12333812949615</v>
      </c>
      <c r="BZ53" s="302">
        <f t="shared" si="48"/>
        <v>135.12333812949615</v>
      </c>
      <c r="CA53" s="302">
        <f t="shared" si="48"/>
        <v>135.12333812949615</v>
      </c>
      <c r="CB53" s="302">
        <f t="shared" si="48"/>
        <v>135.12333812949615</v>
      </c>
      <c r="CC53" s="302">
        <f t="shared" si="48"/>
        <v>135.12333812949615</v>
      </c>
      <c r="CD53" s="302">
        <f t="shared" si="48"/>
        <v>135.12333812949615</v>
      </c>
      <c r="CE53" s="302">
        <f t="shared" si="48"/>
        <v>135.12333812949615</v>
      </c>
      <c r="CF53" s="302">
        <f t="shared" si="48"/>
        <v>135.12333812949615</v>
      </c>
      <c r="CG53" s="302">
        <f t="shared" si="48"/>
        <v>135.12333812949615</v>
      </c>
      <c r="CH53" s="302">
        <f t="shared" si="48"/>
        <v>135.12333812949615</v>
      </c>
      <c r="CI53" s="302">
        <f t="shared" si="48"/>
        <v>135.12333812949615</v>
      </c>
      <c r="CJ53" s="302">
        <f t="shared" si="48"/>
        <v>135.12333812949615</v>
      </c>
      <c r="CK53" s="302">
        <v>135.12</v>
      </c>
      <c r="CL53" s="302">
        <v>135.12</v>
      </c>
      <c r="CM53" s="302">
        <v>135.12</v>
      </c>
      <c r="CN53" s="302">
        <v>135.12</v>
      </c>
      <c r="CO53" s="302">
        <v>135.12</v>
      </c>
      <c r="CP53" s="302">
        <v>135.12</v>
      </c>
      <c r="CQ53" s="296"/>
      <c r="CS53" s="295" t="s">
        <v>437</v>
      </c>
    </row>
    <row r="54" spans="1:97" hidden="1" x14ac:dyDescent="0.25">
      <c r="A54" s="397" t="s">
        <v>373</v>
      </c>
      <c r="B54" s="397" t="s">
        <v>293</v>
      </c>
      <c r="C54" s="397">
        <v>10574</v>
      </c>
      <c r="D54" s="398"/>
      <c r="E54" s="397" t="s">
        <v>377</v>
      </c>
      <c r="F54" s="397" t="s">
        <v>378</v>
      </c>
      <c r="G54" s="317">
        <v>3384</v>
      </c>
      <c r="H54" s="317">
        <f t="shared" si="6"/>
        <v>4060.7999999999997</v>
      </c>
      <c r="I54" s="302">
        <f t="shared" si="0"/>
        <v>165.54820143884899</v>
      </c>
      <c r="J54" s="302">
        <f t="shared" si="4"/>
        <v>36.420604316546779</v>
      </c>
      <c r="K54" s="302">
        <f t="shared" si="5"/>
        <v>201.96880575539578</v>
      </c>
      <c r="L54" s="302">
        <f t="shared" si="34"/>
        <v>201.96880575539578</v>
      </c>
      <c r="M54" s="302">
        <f t="shared" si="35"/>
        <v>201.96880575539578</v>
      </c>
      <c r="N54" s="302">
        <f t="shared" si="36"/>
        <v>201.96880575539578</v>
      </c>
      <c r="O54" s="302">
        <f t="shared" si="37"/>
        <v>201.96880575539578</v>
      </c>
      <c r="P54" s="302">
        <f t="shared" si="38"/>
        <v>201.96880575539578</v>
      </c>
      <c r="Q54" s="302">
        <f t="shared" si="38"/>
        <v>201.96880575539578</v>
      </c>
      <c r="R54" s="302">
        <f t="shared" si="38"/>
        <v>201.96880575539578</v>
      </c>
      <c r="S54" s="302">
        <f t="shared" si="38"/>
        <v>201.96880575539578</v>
      </c>
      <c r="T54" s="302">
        <f t="shared" si="38"/>
        <v>201.96880575539578</v>
      </c>
      <c r="U54" s="302">
        <f t="shared" si="38"/>
        <v>201.96880575539578</v>
      </c>
      <c r="V54" s="302">
        <f t="shared" si="38"/>
        <v>201.96880575539578</v>
      </c>
      <c r="W54" s="302">
        <f t="shared" si="38"/>
        <v>201.96880575539578</v>
      </c>
      <c r="X54" s="302">
        <f t="shared" si="38"/>
        <v>201.96880575539578</v>
      </c>
      <c r="Y54" s="302">
        <f t="shared" si="38"/>
        <v>201.96880575539578</v>
      </c>
      <c r="Z54" s="302">
        <f t="shared" si="38"/>
        <v>201.96880575539578</v>
      </c>
      <c r="AA54" s="302">
        <f t="shared" si="38"/>
        <v>201.96880575539578</v>
      </c>
      <c r="AB54" s="302">
        <f t="shared" si="38"/>
        <v>201.96880575539578</v>
      </c>
      <c r="AC54" s="302">
        <f t="shared" si="38"/>
        <v>201.96880575539578</v>
      </c>
      <c r="AD54" s="302">
        <f t="shared" si="38"/>
        <v>201.96880575539578</v>
      </c>
      <c r="AE54" s="302">
        <f t="shared" si="38"/>
        <v>201.96880575539578</v>
      </c>
      <c r="AF54" s="302">
        <f t="shared" si="39"/>
        <v>201.96880575539578</v>
      </c>
      <c r="AG54" s="302">
        <f t="shared" si="45"/>
        <v>201.96880575539578</v>
      </c>
      <c r="AH54" s="302">
        <f t="shared" si="45"/>
        <v>201.96880575539578</v>
      </c>
      <c r="AI54" s="302">
        <f t="shared" si="45"/>
        <v>201.96880575539578</v>
      </c>
      <c r="AJ54" s="302">
        <f t="shared" si="45"/>
        <v>201.96880575539578</v>
      </c>
      <c r="AK54" s="302">
        <f t="shared" si="45"/>
        <v>201.96880575539578</v>
      </c>
      <c r="AL54" s="302">
        <f t="shared" si="45"/>
        <v>201.96880575539578</v>
      </c>
      <c r="AM54" s="302">
        <f t="shared" si="45"/>
        <v>201.96880575539578</v>
      </c>
      <c r="AN54" s="302">
        <f t="shared" si="45"/>
        <v>201.96880575539578</v>
      </c>
      <c r="AO54" s="302">
        <f t="shared" si="45"/>
        <v>201.96880575539578</v>
      </c>
      <c r="AP54" s="302">
        <v>0</v>
      </c>
      <c r="AQ54" s="302">
        <v>0</v>
      </c>
      <c r="AR54" s="302">
        <v>0</v>
      </c>
      <c r="AS54" s="302">
        <v>0</v>
      </c>
      <c r="AT54" s="302">
        <v>0</v>
      </c>
      <c r="AU54" s="302">
        <v>0</v>
      </c>
      <c r="AV54" s="302">
        <v>0</v>
      </c>
      <c r="AW54" s="302">
        <v>0</v>
      </c>
      <c r="AX54" s="302">
        <v>0</v>
      </c>
      <c r="AY54" s="302">
        <v>0</v>
      </c>
      <c r="AZ54" s="302">
        <v>0</v>
      </c>
      <c r="BA54" s="302">
        <v>0</v>
      </c>
      <c r="BB54" s="302">
        <v>0</v>
      </c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>
        <v>0</v>
      </c>
      <c r="BN54" s="302">
        <v>0</v>
      </c>
      <c r="BO54" s="302">
        <v>0</v>
      </c>
      <c r="BP54" s="302">
        <v>0</v>
      </c>
      <c r="BQ54" s="302">
        <v>0</v>
      </c>
      <c r="BR54" s="302">
        <v>0</v>
      </c>
      <c r="BS54" s="302">
        <v>0</v>
      </c>
      <c r="BT54" s="302">
        <v>0</v>
      </c>
      <c r="BU54" s="302">
        <v>0</v>
      </c>
      <c r="BV54" s="302">
        <v>0</v>
      </c>
      <c r="BW54" s="302">
        <v>0</v>
      </c>
      <c r="BX54" s="302">
        <v>0</v>
      </c>
      <c r="BY54" s="302">
        <v>0</v>
      </c>
      <c r="BZ54" s="302">
        <v>0</v>
      </c>
      <c r="CA54" s="302">
        <v>0</v>
      </c>
      <c r="CB54" s="302">
        <v>0</v>
      </c>
      <c r="CC54" s="302">
        <v>0</v>
      </c>
      <c r="CD54" s="302">
        <v>0</v>
      </c>
      <c r="CE54" s="302">
        <v>0</v>
      </c>
      <c r="CF54" s="302">
        <v>0</v>
      </c>
      <c r="CG54" s="302">
        <v>0</v>
      </c>
      <c r="CH54" s="302">
        <v>0</v>
      </c>
      <c r="CI54" s="302">
        <v>0</v>
      </c>
      <c r="CJ54" s="302">
        <v>0</v>
      </c>
      <c r="CK54" s="302"/>
      <c r="CL54" s="302"/>
      <c r="CM54" s="302"/>
      <c r="CN54" s="302"/>
      <c r="CO54" s="302"/>
      <c r="CP54" s="302"/>
      <c r="CQ54" s="304">
        <v>43586</v>
      </c>
    </row>
    <row r="55" spans="1:97" hidden="1" x14ac:dyDescent="0.25">
      <c r="A55" s="395" t="s">
        <v>373</v>
      </c>
      <c r="B55" s="395" t="s">
        <v>293</v>
      </c>
      <c r="C55" s="395">
        <v>10574</v>
      </c>
      <c r="D55" s="396">
        <v>101368</v>
      </c>
      <c r="E55" s="797" t="s">
        <v>379</v>
      </c>
      <c r="F55" s="395" t="s">
        <v>289</v>
      </c>
      <c r="G55" s="301">
        <v>1880</v>
      </c>
      <c r="H55" s="301">
        <f t="shared" si="6"/>
        <v>2256</v>
      </c>
      <c r="I55" s="302">
        <f t="shared" si="0"/>
        <v>91.971223021582773</v>
      </c>
      <c r="J55" s="302">
        <f t="shared" si="4"/>
        <v>20.233669064748209</v>
      </c>
      <c r="K55" s="302">
        <f t="shared" si="5"/>
        <v>112.20489208633099</v>
      </c>
      <c r="L55" s="302">
        <f t="shared" si="34"/>
        <v>112.20489208633099</v>
      </c>
      <c r="M55" s="302">
        <f t="shared" si="35"/>
        <v>112.20489208633099</v>
      </c>
      <c r="N55" s="302">
        <f t="shared" si="36"/>
        <v>112.20489208633099</v>
      </c>
      <c r="O55" s="302">
        <f t="shared" si="37"/>
        <v>112.20489208633099</v>
      </c>
      <c r="P55" s="302">
        <f t="shared" si="38"/>
        <v>112.20489208633099</v>
      </c>
      <c r="Q55" s="302">
        <f t="shared" si="38"/>
        <v>112.20489208633099</v>
      </c>
      <c r="R55" s="302">
        <f t="shared" si="38"/>
        <v>112.20489208633099</v>
      </c>
      <c r="S55" s="302">
        <f t="shared" si="38"/>
        <v>112.20489208633099</v>
      </c>
      <c r="T55" s="302">
        <f t="shared" si="38"/>
        <v>112.20489208633099</v>
      </c>
      <c r="U55" s="302">
        <f t="shared" si="38"/>
        <v>112.20489208633099</v>
      </c>
      <c r="V55" s="302">
        <f t="shared" si="38"/>
        <v>112.20489208633099</v>
      </c>
      <c r="W55" s="302">
        <f t="shared" si="38"/>
        <v>112.20489208633099</v>
      </c>
      <c r="X55" s="302">
        <f t="shared" si="38"/>
        <v>112.20489208633099</v>
      </c>
      <c r="Y55" s="302">
        <f t="shared" si="38"/>
        <v>112.20489208633099</v>
      </c>
      <c r="Z55" s="302">
        <f t="shared" si="38"/>
        <v>112.20489208633099</v>
      </c>
      <c r="AA55" s="302">
        <f t="shared" si="38"/>
        <v>112.20489208633099</v>
      </c>
      <c r="AB55" s="302">
        <f t="shared" si="38"/>
        <v>112.20489208633099</v>
      </c>
      <c r="AC55" s="302">
        <f t="shared" si="38"/>
        <v>112.20489208633099</v>
      </c>
      <c r="AD55" s="302">
        <f t="shared" si="38"/>
        <v>112.20489208633099</v>
      </c>
      <c r="AE55" s="302">
        <f t="shared" si="38"/>
        <v>112.20489208633099</v>
      </c>
      <c r="AF55" s="302">
        <f t="shared" si="39"/>
        <v>112.20489208633099</v>
      </c>
      <c r="AG55" s="302">
        <f t="shared" si="45"/>
        <v>112.20489208633099</v>
      </c>
      <c r="AH55" s="302">
        <f t="shared" si="45"/>
        <v>112.20489208633099</v>
      </c>
      <c r="AI55" s="302">
        <f t="shared" si="45"/>
        <v>112.20489208633099</v>
      </c>
      <c r="AJ55" s="302">
        <f t="shared" si="45"/>
        <v>112.20489208633099</v>
      </c>
      <c r="AK55" s="302">
        <f t="shared" si="45"/>
        <v>112.20489208633099</v>
      </c>
      <c r="AL55" s="302">
        <f t="shared" si="45"/>
        <v>112.20489208633099</v>
      </c>
      <c r="AM55" s="302">
        <f t="shared" si="45"/>
        <v>112.20489208633099</v>
      </c>
      <c r="AN55" s="302">
        <f t="shared" si="45"/>
        <v>112.20489208633099</v>
      </c>
      <c r="AO55" s="302">
        <f t="shared" si="45"/>
        <v>112.20489208633099</v>
      </c>
      <c r="AP55" s="302">
        <f t="shared" si="45"/>
        <v>112.20489208633099</v>
      </c>
      <c r="AQ55" s="302">
        <f t="shared" si="45"/>
        <v>112.20489208633099</v>
      </c>
      <c r="AR55" s="302">
        <f t="shared" si="45"/>
        <v>112.20489208633099</v>
      </c>
      <c r="AS55" s="302">
        <f t="shared" si="45"/>
        <v>112.20489208633099</v>
      </c>
      <c r="AT55" s="302">
        <f t="shared" si="45"/>
        <v>112.20489208633099</v>
      </c>
      <c r="AU55" s="302">
        <f t="shared" si="45"/>
        <v>112.20489208633099</v>
      </c>
      <c r="AV55" s="302">
        <f t="shared" si="45"/>
        <v>112.20489208633099</v>
      </c>
      <c r="AW55" s="302">
        <f t="shared" ref="AW55:BC55" si="49">AU55</f>
        <v>112.20489208633099</v>
      </c>
      <c r="AX55" s="302">
        <f t="shared" si="49"/>
        <v>112.20489208633099</v>
      </c>
      <c r="AY55" s="302">
        <f t="shared" si="49"/>
        <v>112.20489208633099</v>
      </c>
      <c r="AZ55" s="302">
        <f t="shared" si="49"/>
        <v>112.20489208633099</v>
      </c>
      <c r="BA55" s="302">
        <f t="shared" si="49"/>
        <v>112.20489208633099</v>
      </c>
      <c r="BB55" s="302">
        <f t="shared" si="49"/>
        <v>112.20489208633099</v>
      </c>
      <c r="BC55" s="302">
        <f t="shared" si="49"/>
        <v>112.20489208633099</v>
      </c>
      <c r="BD55" s="302">
        <f t="shared" ref="BD55:CJ55" si="50">BB55</f>
        <v>112.20489208633099</v>
      </c>
      <c r="BE55" s="302">
        <f t="shared" si="50"/>
        <v>112.20489208633099</v>
      </c>
      <c r="BF55" s="302">
        <f t="shared" si="50"/>
        <v>112.20489208633099</v>
      </c>
      <c r="BG55" s="302">
        <f t="shared" si="50"/>
        <v>112.20489208633099</v>
      </c>
      <c r="BH55" s="302">
        <f t="shared" si="50"/>
        <v>112.20489208633099</v>
      </c>
      <c r="BI55" s="302">
        <f t="shared" si="50"/>
        <v>112.20489208633099</v>
      </c>
      <c r="BJ55" s="302">
        <f t="shared" si="50"/>
        <v>112.20489208633099</v>
      </c>
      <c r="BK55" s="302">
        <f t="shared" si="50"/>
        <v>112.20489208633099</v>
      </c>
      <c r="BL55" s="302">
        <f t="shared" si="50"/>
        <v>112.20489208633099</v>
      </c>
      <c r="BM55" s="302">
        <f t="shared" si="50"/>
        <v>112.20489208633099</v>
      </c>
      <c r="BN55" s="302">
        <f t="shared" si="50"/>
        <v>112.20489208633099</v>
      </c>
      <c r="BO55" s="302">
        <f t="shared" si="50"/>
        <v>112.20489208633099</v>
      </c>
      <c r="BP55" s="302">
        <f t="shared" si="50"/>
        <v>112.20489208633099</v>
      </c>
      <c r="BQ55" s="302">
        <f t="shared" si="50"/>
        <v>112.20489208633099</v>
      </c>
      <c r="BR55" s="302">
        <f t="shared" si="50"/>
        <v>112.20489208633099</v>
      </c>
      <c r="BS55" s="302">
        <f t="shared" si="50"/>
        <v>112.20489208633099</v>
      </c>
      <c r="BT55" s="302">
        <f t="shared" si="50"/>
        <v>112.20489208633099</v>
      </c>
      <c r="BU55" s="302">
        <f t="shared" si="50"/>
        <v>112.20489208633099</v>
      </c>
      <c r="BV55" s="302">
        <f t="shared" si="50"/>
        <v>112.20489208633099</v>
      </c>
      <c r="BW55" s="302">
        <f t="shared" si="50"/>
        <v>112.20489208633099</v>
      </c>
      <c r="BX55" s="302">
        <f t="shared" si="50"/>
        <v>112.20489208633099</v>
      </c>
      <c r="BY55" s="302">
        <f t="shared" si="50"/>
        <v>112.20489208633099</v>
      </c>
      <c r="BZ55" s="302">
        <f t="shared" si="50"/>
        <v>112.20489208633099</v>
      </c>
      <c r="CA55" s="302">
        <f t="shared" si="50"/>
        <v>112.20489208633099</v>
      </c>
      <c r="CB55" s="302">
        <f t="shared" si="50"/>
        <v>112.20489208633099</v>
      </c>
      <c r="CC55" s="302">
        <f t="shared" si="50"/>
        <v>112.20489208633099</v>
      </c>
      <c r="CD55" s="302">
        <f t="shared" si="50"/>
        <v>112.20489208633099</v>
      </c>
      <c r="CE55" s="302">
        <f t="shared" si="50"/>
        <v>112.20489208633099</v>
      </c>
      <c r="CF55" s="302">
        <f t="shared" si="50"/>
        <v>112.20489208633099</v>
      </c>
      <c r="CG55" s="302">
        <f t="shared" si="50"/>
        <v>112.20489208633099</v>
      </c>
      <c r="CH55" s="302">
        <f t="shared" si="50"/>
        <v>112.20489208633099</v>
      </c>
      <c r="CI55" s="302">
        <f t="shared" si="50"/>
        <v>112.20489208633099</v>
      </c>
      <c r="CJ55" s="302">
        <f t="shared" si="50"/>
        <v>112.20489208633099</v>
      </c>
      <c r="CK55" s="302"/>
      <c r="CL55" s="302"/>
      <c r="CM55" s="302"/>
      <c r="CN55" s="302"/>
      <c r="CO55" s="302"/>
      <c r="CP55" s="302"/>
      <c r="CQ55" s="296"/>
    </row>
    <row r="56" spans="1:97" hidden="1" x14ac:dyDescent="0.25">
      <c r="A56" s="397" t="s">
        <v>373</v>
      </c>
      <c r="B56" s="397" t="s">
        <v>293</v>
      </c>
      <c r="C56" s="397">
        <v>10574</v>
      </c>
      <c r="D56" s="398">
        <v>101374</v>
      </c>
      <c r="E56" s="397" t="s">
        <v>380</v>
      </c>
      <c r="F56" s="397" t="s">
        <v>381</v>
      </c>
      <c r="G56" s="317">
        <v>2118</v>
      </c>
      <c r="H56" s="317">
        <f t="shared" si="6"/>
        <v>2541.6</v>
      </c>
      <c r="I56" s="302">
        <f t="shared" si="0"/>
        <v>103.61438848920852</v>
      </c>
      <c r="J56" s="302">
        <f t="shared" si="4"/>
        <v>22.795165467625875</v>
      </c>
      <c r="K56" s="302">
        <f t="shared" si="5"/>
        <v>126.4095539568344</v>
      </c>
      <c r="L56" s="302">
        <f t="shared" si="34"/>
        <v>126.4095539568344</v>
      </c>
      <c r="M56" s="302">
        <f t="shared" si="35"/>
        <v>126.4095539568344</v>
      </c>
      <c r="N56" s="302">
        <f t="shared" si="36"/>
        <v>126.4095539568344</v>
      </c>
      <c r="O56" s="302">
        <f t="shared" si="37"/>
        <v>126.4095539568344</v>
      </c>
      <c r="P56" s="302">
        <f t="shared" si="38"/>
        <v>126.4095539568344</v>
      </c>
      <c r="Q56" s="302">
        <f t="shared" si="38"/>
        <v>126.4095539568344</v>
      </c>
      <c r="R56" s="302">
        <f t="shared" si="38"/>
        <v>126.4095539568344</v>
      </c>
      <c r="S56" s="302">
        <f t="shared" si="38"/>
        <v>126.4095539568344</v>
      </c>
      <c r="T56" s="302">
        <f t="shared" si="38"/>
        <v>126.4095539568344</v>
      </c>
      <c r="U56" s="302">
        <f t="shared" si="38"/>
        <v>126.4095539568344</v>
      </c>
      <c r="V56" s="302">
        <f t="shared" si="38"/>
        <v>126.4095539568344</v>
      </c>
      <c r="W56" s="359">
        <f>($CR56/W$2)*$K56</f>
        <v>105.34129496402868</v>
      </c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0"/>
      <c r="AN56" s="360"/>
      <c r="AO56" s="360"/>
      <c r="AP56" s="360"/>
      <c r="AQ56" s="360"/>
      <c r="AR56" s="360"/>
      <c r="AS56" s="360"/>
      <c r="AT56" s="360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04">
        <v>43003</v>
      </c>
      <c r="CR56" s="295">
        <v>25</v>
      </c>
    </row>
    <row r="57" spans="1:97" hidden="1" x14ac:dyDescent="0.25">
      <c r="A57" s="397" t="s">
        <v>373</v>
      </c>
      <c r="B57" s="397" t="s">
        <v>293</v>
      </c>
      <c r="C57" s="397">
        <v>10574</v>
      </c>
      <c r="D57" s="398">
        <v>100782</v>
      </c>
      <c r="E57" s="397" t="s">
        <v>382</v>
      </c>
      <c r="F57" s="397" t="s">
        <v>383</v>
      </c>
      <c r="G57" s="317">
        <v>4168</v>
      </c>
      <c r="H57" s="317">
        <f t="shared" si="6"/>
        <v>5001.5999999999995</v>
      </c>
      <c r="I57" s="302">
        <f t="shared" si="0"/>
        <v>203.90215827338125</v>
      </c>
      <c r="J57" s="302">
        <f t="shared" si="4"/>
        <v>44.858474820143876</v>
      </c>
      <c r="K57" s="302">
        <f t="shared" si="5"/>
        <v>248.76063309352512</v>
      </c>
      <c r="L57" s="302">
        <f t="shared" si="34"/>
        <v>248.76063309352512</v>
      </c>
      <c r="M57" s="302">
        <f t="shared" si="35"/>
        <v>248.76063309352512</v>
      </c>
      <c r="N57" s="302">
        <f t="shared" si="36"/>
        <v>248.76063309352512</v>
      </c>
      <c r="O57" s="302">
        <f t="shared" si="37"/>
        <v>248.76063309352512</v>
      </c>
      <c r="P57" s="303">
        <f>($CR57/P$2)*$K57</f>
        <v>17.768616649537506</v>
      </c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2"/>
      <c r="CO57" s="302"/>
      <c r="CP57" s="302"/>
      <c r="CQ57" s="304">
        <v>42768</v>
      </c>
      <c r="CR57" s="295">
        <v>2</v>
      </c>
    </row>
    <row r="58" spans="1:97" hidden="1" x14ac:dyDescent="0.25">
      <c r="A58" s="397" t="s">
        <v>373</v>
      </c>
      <c r="B58" s="397" t="s">
        <v>293</v>
      </c>
      <c r="C58" s="397">
        <v>10574</v>
      </c>
      <c r="D58" s="398">
        <v>107635</v>
      </c>
      <c r="E58" s="397" t="s">
        <v>384</v>
      </c>
      <c r="F58" s="397" t="s">
        <v>385</v>
      </c>
      <c r="G58" s="317">
        <v>1888</v>
      </c>
      <c r="H58" s="317">
        <f t="shared" si="6"/>
        <v>2265.6</v>
      </c>
      <c r="I58" s="302">
        <f t="shared" si="0"/>
        <v>92.362589928057332</v>
      </c>
      <c r="J58" s="302">
        <f t="shared" si="4"/>
        <v>20.319769784172614</v>
      </c>
      <c r="K58" s="302">
        <f t="shared" si="5"/>
        <v>112.68235971222995</v>
      </c>
      <c r="L58" s="302">
        <f t="shared" si="34"/>
        <v>112.68235971222995</v>
      </c>
      <c r="M58" s="302">
        <f t="shared" si="35"/>
        <v>112.68235971222995</v>
      </c>
      <c r="N58" s="302">
        <f t="shared" si="36"/>
        <v>112.68235971222995</v>
      </c>
      <c r="O58" s="302">
        <f t="shared" si="37"/>
        <v>112.68235971222995</v>
      </c>
      <c r="P58" s="302">
        <f t="shared" si="38"/>
        <v>112.68235971222995</v>
      </c>
      <c r="Q58" s="302">
        <f t="shared" si="38"/>
        <v>112.68235971222995</v>
      </c>
      <c r="R58" s="302">
        <f t="shared" si="38"/>
        <v>112.68235971222995</v>
      </c>
      <c r="S58" s="302">
        <f t="shared" si="38"/>
        <v>112.68235971222995</v>
      </c>
      <c r="T58" s="302">
        <f t="shared" si="38"/>
        <v>112.68235971222995</v>
      </c>
      <c r="U58" s="302">
        <f t="shared" si="38"/>
        <v>112.68235971222995</v>
      </c>
      <c r="V58" s="302">
        <f t="shared" si="38"/>
        <v>112.68235971222995</v>
      </c>
      <c r="W58" s="302">
        <f t="shared" si="38"/>
        <v>112.68235971222995</v>
      </c>
      <c r="X58" s="302">
        <f t="shared" si="38"/>
        <v>112.68235971222995</v>
      </c>
      <c r="Y58" s="302">
        <f t="shared" si="38"/>
        <v>112.68235971222995</v>
      </c>
      <c r="Z58" s="302">
        <f t="shared" si="38"/>
        <v>112.68235971222995</v>
      </c>
      <c r="AA58" s="303">
        <f>($CR58/AA$2)*$K58</f>
        <v>7.2698296588535456</v>
      </c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4">
        <v>43102</v>
      </c>
      <c r="CR58" s="295">
        <v>2</v>
      </c>
    </row>
    <row r="59" spans="1:97" x14ac:dyDescent="0.25">
      <c r="A59" s="395" t="s">
        <v>386</v>
      </c>
      <c r="B59" s="395" t="s">
        <v>387</v>
      </c>
      <c r="C59" s="395">
        <v>10576</v>
      </c>
      <c r="D59" s="396">
        <v>14613</v>
      </c>
      <c r="E59" s="796" t="s">
        <v>388</v>
      </c>
      <c r="F59" s="796" t="s">
        <v>389</v>
      </c>
      <c r="G59" s="301">
        <v>1897</v>
      </c>
      <c r="H59" s="301">
        <f t="shared" si="6"/>
        <v>2276.4</v>
      </c>
      <c r="I59" s="302">
        <f t="shared" si="0"/>
        <v>92.802877697841723</v>
      </c>
      <c r="J59" s="302">
        <f t="shared" si="4"/>
        <v>20.416633093525178</v>
      </c>
      <c r="K59" s="302">
        <f t="shared" si="5"/>
        <v>113.2195107913669</v>
      </c>
      <c r="L59" s="302">
        <f t="shared" si="34"/>
        <v>113.2195107913669</v>
      </c>
      <c r="M59" s="302">
        <f t="shared" si="35"/>
        <v>113.2195107913669</v>
      </c>
      <c r="N59" s="302">
        <f t="shared" si="36"/>
        <v>113.2195107913669</v>
      </c>
      <c r="O59" s="302">
        <f t="shared" si="37"/>
        <v>113.2195107913669</v>
      </c>
      <c r="P59" s="302">
        <f t="shared" si="38"/>
        <v>113.2195107913669</v>
      </c>
      <c r="Q59" s="302">
        <f t="shared" si="38"/>
        <v>113.2195107913669</v>
      </c>
      <c r="R59" s="302">
        <f t="shared" si="38"/>
        <v>113.2195107913669</v>
      </c>
      <c r="S59" s="302">
        <f t="shared" si="38"/>
        <v>113.2195107913669</v>
      </c>
      <c r="T59" s="302">
        <f t="shared" si="38"/>
        <v>113.2195107913669</v>
      </c>
      <c r="U59" s="302">
        <f t="shared" si="38"/>
        <v>113.2195107913669</v>
      </c>
      <c r="V59" s="302">
        <f t="shared" si="38"/>
        <v>113.2195107913669</v>
      </c>
      <c r="W59" s="302">
        <f t="shared" si="38"/>
        <v>113.2195107913669</v>
      </c>
      <c r="X59" s="302">
        <f t="shared" si="38"/>
        <v>113.2195107913669</v>
      </c>
      <c r="Y59" s="302">
        <f t="shared" si="38"/>
        <v>113.2195107913669</v>
      </c>
      <c r="Z59" s="302">
        <f t="shared" ref="Z59:AF59" si="51">U59</f>
        <v>113.2195107913669</v>
      </c>
      <c r="AA59" s="302">
        <f t="shared" si="51"/>
        <v>113.2195107913669</v>
      </c>
      <c r="AB59" s="302">
        <f t="shared" si="51"/>
        <v>113.2195107913669</v>
      </c>
      <c r="AC59" s="302">
        <f t="shared" si="51"/>
        <v>113.2195107913669</v>
      </c>
      <c r="AD59" s="302">
        <f t="shared" si="51"/>
        <v>113.2195107913669</v>
      </c>
      <c r="AE59" s="302">
        <f t="shared" si="51"/>
        <v>113.2195107913669</v>
      </c>
      <c r="AF59" s="302">
        <f t="shared" si="51"/>
        <v>113.2195107913669</v>
      </c>
      <c r="AG59" s="302">
        <f t="shared" ref="AG59:AV59" si="52">AE59</f>
        <v>113.2195107913669</v>
      </c>
      <c r="AH59" s="302">
        <f t="shared" si="52"/>
        <v>113.2195107913669</v>
      </c>
      <c r="AI59" s="302">
        <f t="shared" si="52"/>
        <v>113.2195107913669</v>
      </c>
      <c r="AJ59" s="302">
        <f t="shared" si="52"/>
        <v>113.2195107913669</v>
      </c>
      <c r="AK59" s="302">
        <f t="shared" si="52"/>
        <v>113.2195107913669</v>
      </c>
      <c r="AL59" s="302">
        <f t="shared" si="52"/>
        <v>113.2195107913669</v>
      </c>
      <c r="AM59" s="302">
        <f t="shared" si="52"/>
        <v>113.2195107913669</v>
      </c>
      <c r="AN59" s="302">
        <f t="shared" si="52"/>
        <v>113.2195107913669</v>
      </c>
      <c r="AO59" s="302">
        <f t="shared" si="52"/>
        <v>113.2195107913669</v>
      </c>
      <c r="AP59" s="302">
        <f t="shared" si="52"/>
        <v>113.2195107913669</v>
      </c>
      <c r="AQ59" s="302">
        <f t="shared" si="52"/>
        <v>113.2195107913669</v>
      </c>
      <c r="AR59" s="302">
        <f t="shared" si="52"/>
        <v>113.2195107913669</v>
      </c>
      <c r="AS59" s="302">
        <f t="shared" si="52"/>
        <v>113.2195107913669</v>
      </c>
      <c r="AT59" s="302">
        <f t="shared" si="52"/>
        <v>113.2195107913669</v>
      </c>
      <c r="AU59" s="302">
        <f t="shared" si="52"/>
        <v>113.2195107913669</v>
      </c>
      <c r="AV59" s="302">
        <f t="shared" si="52"/>
        <v>113.2195107913669</v>
      </c>
      <c r="AW59" s="302">
        <f t="shared" ref="AW59:CJ59" si="53">AU59</f>
        <v>113.2195107913669</v>
      </c>
      <c r="AX59" s="302">
        <f t="shared" si="53"/>
        <v>113.2195107913669</v>
      </c>
      <c r="AY59" s="302">
        <f t="shared" si="53"/>
        <v>113.2195107913669</v>
      </c>
      <c r="AZ59" s="302">
        <f t="shared" si="53"/>
        <v>113.2195107913669</v>
      </c>
      <c r="BA59" s="302">
        <f t="shared" si="53"/>
        <v>113.2195107913669</v>
      </c>
      <c r="BB59" s="302">
        <f t="shared" si="53"/>
        <v>113.2195107913669</v>
      </c>
      <c r="BC59" s="302">
        <f t="shared" si="53"/>
        <v>113.2195107913669</v>
      </c>
      <c r="BD59" s="302">
        <f t="shared" si="53"/>
        <v>113.2195107913669</v>
      </c>
      <c r="BE59" s="302">
        <f t="shared" si="53"/>
        <v>113.2195107913669</v>
      </c>
      <c r="BF59" s="302">
        <f t="shared" si="53"/>
        <v>113.2195107913669</v>
      </c>
      <c r="BG59" s="302">
        <f t="shared" si="53"/>
        <v>113.2195107913669</v>
      </c>
      <c r="BH59" s="302">
        <f t="shared" si="53"/>
        <v>113.2195107913669</v>
      </c>
      <c r="BI59" s="302">
        <f t="shared" si="53"/>
        <v>113.2195107913669</v>
      </c>
      <c r="BJ59" s="302">
        <f t="shared" si="53"/>
        <v>113.2195107913669</v>
      </c>
      <c r="BK59" s="302">
        <f t="shared" si="53"/>
        <v>113.2195107913669</v>
      </c>
      <c r="BL59" s="302">
        <f t="shared" si="53"/>
        <v>113.2195107913669</v>
      </c>
      <c r="BM59" s="302">
        <f t="shared" si="53"/>
        <v>113.2195107913669</v>
      </c>
      <c r="BN59" s="302">
        <f t="shared" si="53"/>
        <v>113.2195107913669</v>
      </c>
      <c r="BO59" s="302">
        <f t="shared" si="53"/>
        <v>113.2195107913669</v>
      </c>
      <c r="BP59" s="302">
        <f t="shared" si="53"/>
        <v>113.2195107913669</v>
      </c>
      <c r="BQ59" s="302">
        <f t="shared" si="53"/>
        <v>113.2195107913669</v>
      </c>
      <c r="BR59" s="302">
        <f t="shared" si="53"/>
        <v>113.2195107913669</v>
      </c>
      <c r="BS59" s="302">
        <f t="shared" si="53"/>
        <v>113.2195107913669</v>
      </c>
      <c r="BT59" s="302">
        <f t="shared" si="53"/>
        <v>113.2195107913669</v>
      </c>
      <c r="BU59" s="302">
        <f t="shared" si="53"/>
        <v>113.2195107913669</v>
      </c>
      <c r="BV59" s="302">
        <f t="shared" si="53"/>
        <v>113.2195107913669</v>
      </c>
      <c r="BW59" s="302">
        <f t="shared" si="53"/>
        <v>113.2195107913669</v>
      </c>
      <c r="BX59" s="302">
        <f t="shared" si="53"/>
        <v>113.2195107913669</v>
      </c>
      <c r="BY59" s="302">
        <f t="shared" si="53"/>
        <v>113.2195107913669</v>
      </c>
      <c r="BZ59" s="302">
        <f t="shared" si="53"/>
        <v>113.2195107913669</v>
      </c>
      <c r="CA59" s="302">
        <f t="shared" si="53"/>
        <v>113.2195107913669</v>
      </c>
      <c r="CB59" s="302">
        <f t="shared" si="53"/>
        <v>113.2195107913669</v>
      </c>
      <c r="CC59" s="302">
        <f t="shared" si="53"/>
        <v>113.2195107913669</v>
      </c>
      <c r="CD59" s="302">
        <f t="shared" si="53"/>
        <v>113.2195107913669</v>
      </c>
      <c r="CE59" s="302">
        <f t="shared" si="53"/>
        <v>113.2195107913669</v>
      </c>
      <c r="CF59" s="302">
        <f t="shared" si="53"/>
        <v>113.2195107913669</v>
      </c>
      <c r="CG59" s="302">
        <f t="shared" si="53"/>
        <v>113.2195107913669</v>
      </c>
      <c r="CH59" s="302">
        <f t="shared" si="53"/>
        <v>113.2195107913669</v>
      </c>
      <c r="CI59" s="302">
        <f t="shared" si="53"/>
        <v>113.2195107913669</v>
      </c>
      <c r="CJ59" s="302">
        <f t="shared" si="53"/>
        <v>113.2195107913669</v>
      </c>
      <c r="CK59" s="302">
        <v>113.22</v>
      </c>
      <c r="CL59" s="302">
        <v>113.22</v>
      </c>
      <c r="CM59" s="302">
        <v>113.22</v>
      </c>
      <c r="CN59" s="302">
        <v>113.22</v>
      </c>
      <c r="CO59" s="302">
        <v>113.22</v>
      </c>
      <c r="CP59" s="302">
        <v>113.22</v>
      </c>
      <c r="CQ59" s="296"/>
    </row>
    <row r="60" spans="1:97" hidden="1" x14ac:dyDescent="0.25">
      <c r="A60" s="397" t="s">
        <v>386</v>
      </c>
      <c r="B60" s="397" t="s">
        <v>390</v>
      </c>
      <c r="C60" s="397">
        <v>10569</v>
      </c>
      <c r="D60" s="398">
        <v>72324</v>
      </c>
      <c r="E60" s="397" t="s">
        <v>391</v>
      </c>
      <c r="F60" s="397" t="s">
        <v>357</v>
      </c>
      <c r="G60" s="317">
        <v>1861</v>
      </c>
      <c r="H60" s="317">
        <f t="shared" si="6"/>
        <v>2233.1999999999998</v>
      </c>
      <c r="I60" s="302">
        <f t="shared" si="0"/>
        <v>91.04172661870507</v>
      </c>
      <c r="J60" s="302">
        <f t="shared" si="4"/>
        <v>20.029179856115114</v>
      </c>
      <c r="K60" s="302">
        <f t="shared" si="5"/>
        <v>111.07090647482019</v>
      </c>
      <c r="L60" s="302">
        <f t="shared" si="34"/>
        <v>111.07090647482019</v>
      </c>
      <c r="M60" s="302">
        <f t="shared" si="35"/>
        <v>111.07090647482019</v>
      </c>
      <c r="N60" s="302">
        <f t="shared" si="36"/>
        <v>111.07090647482019</v>
      </c>
      <c r="O60" s="302">
        <f t="shared" si="37"/>
        <v>111.07090647482019</v>
      </c>
      <c r="P60" s="302">
        <f t="shared" ref="P60:AD62" si="54">K60</f>
        <v>111.07090647482019</v>
      </c>
      <c r="Q60" s="302">
        <f t="shared" si="54"/>
        <v>111.07090647482019</v>
      </c>
      <c r="R60" s="302">
        <f t="shared" si="54"/>
        <v>111.07090647482019</v>
      </c>
      <c r="S60" s="302">
        <f t="shared" si="54"/>
        <v>111.07090647482019</v>
      </c>
      <c r="T60" s="302">
        <f t="shared" si="54"/>
        <v>111.07090647482019</v>
      </c>
      <c r="U60" s="302">
        <f t="shared" si="54"/>
        <v>111.07090647482019</v>
      </c>
      <c r="V60" s="302">
        <f t="shared" si="54"/>
        <v>111.07090647482019</v>
      </c>
      <c r="W60" s="302">
        <f t="shared" si="54"/>
        <v>111.07090647482019</v>
      </c>
      <c r="X60" s="302">
        <f t="shared" si="54"/>
        <v>111.07090647482019</v>
      </c>
      <c r="Y60" s="303">
        <f>($CR60/Y$2)*$K60</f>
        <v>33.321271942446053</v>
      </c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4">
        <v>43048</v>
      </c>
      <c r="CR60" s="295">
        <v>9</v>
      </c>
    </row>
    <row r="61" spans="1:97" hidden="1" x14ac:dyDescent="0.25">
      <c r="A61" s="397" t="s">
        <v>386</v>
      </c>
      <c r="B61" s="397" t="s">
        <v>387</v>
      </c>
      <c r="C61" s="397">
        <v>10576</v>
      </c>
      <c r="D61" s="398">
        <v>14620</v>
      </c>
      <c r="E61" s="397" t="s">
        <v>392</v>
      </c>
      <c r="F61" s="397" t="s">
        <v>393</v>
      </c>
      <c r="G61" s="317">
        <v>2544</v>
      </c>
      <c r="H61" s="317">
        <f t="shared" si="6"/>
        <v>3052.7999999999997</v>
      </c>
      <c r="I61" s="302">
        <f t="shared" si="0"/>
        <v>124.45467625899255</v>
      </c>
      <c r="J61" s="302">
        <f t="shared" si="4"/>
        <v>27.38002877697836</v>
      </c>
      <c r="K61" s="302">
        <f t="shared" si="5"/>
        <v>151.8347050359709</v>
      </c>
      <c r="L61" s="302">
        <f t="shared" si="34"/>
        <v>151.8347050359709</v>
      </c>
      <c r="M61" s="302">
        <f t="shared" si="35"/>
        <v>151.8347050359709</v>
      </c>
      <c r="N61" s="302">
        <f t="shared" si="36"/>
        <v>151.8347050359709</v>
      </c>
      <c r="O61" s="302">
        <f t="shared" si="37"/>
        <v>151.8347050359709</v>
      </c>
      <c r="P61" s="302">
        <f t="shared" si="54"/>
        <v>151.8347050359709</v>
      </c>
      <c r="Q61" s="302">
        <f t="shared" si="54"/>
        <v>151.8347050359709</v>
      </c>
      <c r="R61" s="302">
        <f t="shared" si="54"/>
        <v>151.8347050359709</v>
      </c>
      <c r="S61" s="302">
        <f t="shared" si="54"/>
        <v>151.8347050359709</v>
      </c>
      <c r="T61" s="302">
        <f t="shared" si="54"/>
        <v>151.8347050359709</v>
      </c>
      <c r="U61" s="302">
        <f t="shared" si="54"/>
        <v>151.8347050359709</v>
      </c>
      <c r="V61" s="302">
        <f t="shared" si="54"/>
        <v>151.8347050359709</v>
      </c>
      <c r="W61" s="302">
        <f t="shared" si="54"/>
        <v>151.8347050359709</v>
      </c>
      <c r="X61" s="302">
        <f t="shared" si="54"/>
        <v>151.8347050359709</v>
      </c>
      <c r="Y61" s="302">
        <f t="shared" si="54"/>
        <v>151.8347050359709</v>
      </c>
      <c r="Z61" s="302">
        <f t="shared" si="54"/>
        <v>151.8347050359709</v>
      </c>
      <c r="AA61" s="302">
        <f t="shared" si="54"/>
        <v>151.8347050359709</v>
      </c>
      <c r="AB61" s="303">
        <f t="shared" si="54"/>
        <v>151.8347050359709</v>
      </c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2"/>
      <c r="CO61" s="302"/>
      <c r="CP61" s="302"/>
      <c r="CQ61" s="304">
        <v>43159</v>
      </c>
      <c r="CR61" s="295">
        <v>28</v>
      </c>
    </row>
    <row r="62" spans="1:97" hidden="1" x14ac:dyDescent="0.25">
      <c r="A62" s="395" t="s">
        <v>386</v>
      </c>
      <c r="B62" s="395" t="s">
        <v>387</v>
      </c>
      <c r="C62" s="395">
        <v>10576</v>
      </c>
      <c r="D62" s="396">
        <v>14614</v>
      </c>
      <c r="E62" s="395" t="s">
        <v>394</v>
      </c>
      <c r="F62" s="395" t="s">
        <v>395</v>
      </c>
      <c r="G62" s="301">
        <v>1689</v>
      </c>
      <c r="H62" s="301">
        <f t="shared" si="6"/>
        <v>2026.8</v>
      </c>
      <c r="I62" s="302">
        <f t="shared" si="0"/>
        <v>82.627338129496366</v>
      </c>
      <c r="J62" s="302">
        <f t="shared" si="4"/>
        <v>18.178014388489199</v>
      </c>
      <c r="K62" s="302">
        <f t="shared" si="5"/>
        <v>100.80535251798557</v>
      </c>
      <c r="L62" s="302">
        <f t="shared" si="34"/>
        <v>100.80535251798557</v>
      </c>
      <c r="M62" s="302">
        <f t="shared" si="35"/>
        <v>100.80535251798557</v>
      </c>
      <c r="N62" s="302">
        <f t="shared" si="36"/>
        <v>100.80535251798557</v>
      </c>
      <c r="O62" s="302">
        <f t="shared" si="37"/>
        <v>100.80535251798557</v>
      </c>
      <c r="P62" s="302">
        <f t="shared" si="54"/>
        <v>100.80535251798557</v>
      </c>
      <c r="Q62" s="302">
        <f t="shared" si="54"/>
        <v>100.80535251798557</v>
      </c>
      <c r="R62" s="302">
        <f t="shared" si="54"/>
        <v>100.80535251798557</v>
      </c>
      <c r="S62" s="302">
        <f t="shared" si="54"/>
        <v>100.80535251798557</v>
      </c>
      <c r="T62" s="302">
        <f t="shared" si="54"/>
        <v>100.80535251798557</v>
      </c>
      <c r="U62" s="302">
        <f t="shared" si="54"/>
        <v>100.80535251798557</v>
      </c>
      <c r="V62" s="302">
        <f t="shared" si="54"/>
        <v>100.80535251798557</v>
      </c>
      <c r="W62" s="302">
        <f t="shared" si="54"/>
        <v>100.80535251798557</v>
      </c>
      <c r="X62" s="302">
        <f t="shared" si="54"/>
        <v>100.80535251798557</v>
      </c>
      <c r="Y62" s="302">
        <f t="shared" si="54"/>
        <v>100.80535251798557</v>
      </c>
      <c r="Z62" s="302">
        <f t="shared" si="54"/>
        <v>100.80535251798557</v>
      </c>
      <c r="AA62" s="302">
        <f t="shared" si="54"/>
        <v>100.80535251798557</v>
      </c>
      <c r="AB62" s="302">
        <f t="shared" si="54"/>
        <v>100.80535251798557</v>
      </c>
      <c r="AC62" s="302">
        <f t="shared" si="54"/>
        <v>100.80535251798557</v>
      </c>
      <c r="AD62" s="302">
        <f t="shared" si="54"/>
        <v>100.80535251798557</v>
      </c>
      <c r="AE62" s="303">
        <f>($CR62/AE$2)*$K62</f>
        <v>48.776783476444628</v>
      </c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2"/>
      <c r="CP62" s="302"/>
      <c r="CQ62" s="304">
        <v>43235</v>
      </c>
      <c r="CR62" s="295">
        <v>15</v>
      </c>
    </row>
    <row r="63" spans="1:97" hidden="1" x14ac:dyDescent="0.25">
      <c r="A63" s="397" t="s">
        <v>386</v>
      </c>
      <c r="B63" s="397" t="s">
        <v>390</v>
      </c>
      <c r="C63" s="397">
        <v>10569</v>
      </c>
      <c r="D63" s="398">
        <v>72436</v>
      </c>
      <c r="E63" s="397" t="s">
        <v>396</v>
      </c>
      <c r="F63" s="397" t="s">
        <v>397</v>
      </c>
      <c r="G63" s="317">
        <v>2224</v>
      </c>
      <c r="H63" s="317">
        <f t="shared" si="6"/>
        <v>2668.7999999999997</v>
      </c>
      <c r="I63" s="302">
        <f t="shared" si="0"/>
        <v>108.79999999999973</v>
      </c>
      <c r="J63" s="302">
        <f t="shared" si="4"/>
        <v>23.93599999999994</v>
      </c>
      <c r="K63" s="302">
        <f t="shared" si="5"/>
        <v>132.73599999999968</v>
      </c>
      <c r="L63" s="302">
        <f t="shared" si="34"/>
        <v>132.73599999999968</v>
      </c>
      <c r="M63" s="302">
        <f t="shared" si="35"/>
        <v>132.73599999999968</v>
      </c>
      <c r="N63" s="302">
        <f t="shared" si="36"/>
        <v>132.73599999999968</v>
      </c>
      <c r="O63" s="303">
        <f>($CR63/O$2)*$K63</f>
        <v>38.536258064516041</v>
      </c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2"/>
      <c r="CQ63" s="304">
        <v>42744</v>
      </c>
      <c r="CR63" s="295">
        <v>9</v>
      </c>
    </row>
    <row r="64" spans="1:97" hidden="1" x14ac:dyDescent="0.25">
      <c r="A64" s="395" t="s">
        <v>386</v>
      </c>
      <c r="B64" s="395" t="s">
        <v>390</v>
      </c>
      <c r="C64" s="395">
        <v>10569</v>
      </c>
      <c r="D64" s="400">
        <v>72328</v>
      </c>
      <c r="E64" s="797" t="s">
        <v>398</v>
      </c>
      <c r="F64" s="395" t="s">
        <v>399</v>
      </c>
      <c r="G64" s="301">
        <v>1888</v>
      </c>
      <c r="H64" s="301">
        <f t="shared" si="6"/>
        <v>2265.6</v>
      </c>
      <c r="I64" s="302">
        <f t="shared" si="0"/>
        <v>92.362589928057332</v>
      </c>
      <c r="J64" s="302">
        <f t="shared" si="4"/>
        <v>20.319769784172614</v>
      </c>
      <c r="K64" s="302">
        <f t="shared" si="5"/>
        <v>112.68235971222995</v>
      </c>
      <c r="L64" s="302">
        <f>K64</f>
        <v>112.68235971222995</v>
      </c>
      <c r="M64" s="302">
        <f>K64</f>
        <v>112.68235971222995</v>
      </c>
      <c r="N64" s="302">
        <f>K64</f>
        <v>112.68235971222995</v>
      </c>
      <c r="O64" s="302">
        <f>K64</f>
        <v>112.68235971222995</v>
      </c>
      <c r="P64" s="302">
        <f>K64</f>
        <v>112.68235971222995</v>
      </c>
      <c r="Q64" s="302">
        <f>L64</f>
        <v>112.68235971222995</v>
      </c>
      <c r="R64" s="302">
        <f t="shared" ref="R64:AF64" si="55">M64</f>
        <v>112.68235971222995</v>
      </c>
      <c r="S64" s="302">
        <f t="shared" si="55"/>
        <v>112.68235971222995</v>
      </c>
      <c r="T64" s="302">
        <f t="shared" si="55"/>
        <v>112.68235971222995</v>
      </c>
      <c r="U64" s="302">
        <f t="shared" si="55"/>
        <v>112.68235971222995</v>
      </c>
      <c r="V64" s="302">
        <f t="shared" si="55"/>
        <v>112.68235971222995</v>
      </c>
      <c r="W64" s="302">
        <f t="shared" si="55"/>
        <v>112.68235971222995</v>
      </c>
      <c r="X64" s="302">
        <f t="shared" si="55"/>
        <v>112.68235971222995</v>
      </c>
      <c r="Y64" s="302">
        <f t="shared" si="55"/>
        <v>112.68235971222995</v>
      </c>
      <c r="Z64" s="302">
        <f t="shared" si="55"/>
        <v>112.68235971222995</v>
      </c>
      <c r="AA64" s="302">
        <f t="shared" si="55"/>
        <v>112.68235971222995</v>
      </c>
      <c r="AB64" s="302">
        <f t="shared" si="55"/>
        <v>112.68235971222995</v>
      </c>
      <c r="AC64" s="302">
        <f t="shared" si="55"/>
        <v>112.68235971222995</v>
      </c>
      <c r="AD64" s="302">
        <f t="shared" si="55"/>
        <v>112.68235971222995</v>
      </c>
      <c r="AE64" s="302">
        <f t="shared" si="55"/>
        <v>112.68235971222995</v>
      </c>
      <c r="AF64" s="302">
        <f t="shared" si="55"/>
        <v>112.68235971222995</v>
      </c>
      <c r="AG64" s="302">
        <f t="shared" ref="AG64:AV64" si="56">AE64</f>
        <v>112.68235971222995</v>
      </c>
      <c r="AH64" s="302">
        <f t="shared" si="56"/>
        <v>112.68235971222995</v>
      </c>
      <c r="AI64" s="302">
        <f t="shared" si="56"/>
        <v>112.68235971222995</v>
      </c>
      <c r="AJ64" s="302">
        <f t="shared" si="56"/>
        <v>112.68235971222995</v>
      </c>
      <c r="AK64" s="302">
        <f t="shared" si="56"/>
        <v>112.68235971222995</v>
      </c>
      <c r="AL64" s="302">
        <f t="shared" si="56"/>
        <v>112.68235971222995</v>
      </c>
      <c r="AM64" s="302">
        <f t="shared" si="56"/>
        <v>112.68235971222995</v>
      </c>
      <c r="AN64" s="302">
        <f t="shared" si="56"/>
        <v>112.68235971222995</v>
      </c>
      <c r="AO64" s="302">
        <f t="shared" si="56"/>
        <v>112.68235971222995</v>
      </c>
      <c r="AP64" s="302">
        <f t="shared" si="56"/>
        <v>112.68235971222995</v>
      </c>
      <c r="AQ64" s="302">
        <f t="shared" si="56"/>
        <v>112.68235971222995</v>
      </c>
      <c r="AR64" s="302">
        <f t="shared" si="56"/>
        <v>112.68235971222995</v>
      </c>
      <c r="AS64" s="302">
        <f t="shared" si="56"/>
        <v>112.68235971222995</v>
      </c>
      <c r="AT64" s="302">
        <f t="shared" si="56"/>
        <v>112.68235971222995</v>
      </c>
      <c r="AU64" s="302">
        <f t="shared" si="56"/>
        <v>112.68235971222995</v>
      </c>
      <c r="AV64" s="302">
        <f t="shared" si="56"/>
        <v>112.68235971222995</v>
      </c>
      <c r="AW64" s="302">
        <f t="shared" ref="AW64:CJ64" si="57">AU64</f>
        <v>112.68235971222995</v>
      </c>
      <c r="AX64" s="302">
        <f t="shared" si="57"/>
        <v>112.68235971222995</v>
      </c>
      <c r="AY64" s="302">
        <f t="shared" si="57"/>
        <v>112.68235971222995</v>
      </c>
      <c r="AZ64" s="302">
        <f t="shared" si="57"/>
        <v>112.68235971222995</v>
      </c>
      <c r="BA64" s="302">
        <f t="shared" si="57"/>
        <v>112.68235971222995</v>
      </c>
      <c r="BB64" s="302">
        <f t="shared" si="57"/>
        <v>112.68235971222995</v>
      </c>
      <c r="BC64" s="302">
        <f t="shared" si="57"/>
        <v>112.68235971222995</v>
      </c>
      <c r="BD64" s="302">
        <f t="shared" si="57"/>
        <v>112.68235971222995</v>
      </c>
      <c r="BE64" s="302">
        <f t="shared" si="57"/>
        <v>112.68235971222995</v>
      </c>
      <c r="BF64" s="302">
        <f t="shared" si="57"/>
        <v>112.68235971222995</v>
      </c>
      <c r="BG64" s="302">
        <f t="shared" si="57"/>
        <v>112.68235971222995</v>
      </c>
      <c r="BH64" s="302">
        <f t="shared" si="57"/>
        <v>112.68235971222995</v>
      </c>
      <c r="BI64" s="302">
        <f t="shared" si="57"/>
        <v>112.68235971222995</v>
      </c>
      <c r="BJ64" s="798">
        <f t="shared" si="57"/>
        <v>112.68235971222995</v>
      </c>
      <c r="BK64" s="302">
        <f t="shared" si="57"/>
        <v>112.68235971222995</v>
      </c>
      <c r="BL64" s="302">
        <f t="shared" si="57"/>
        <v>112.68235971222995</v>
      </c>
      <c r="BM64" s="302">
        <f t="shared" si="57"/>
        <v>112.68235971222995</v>
      </c>
      <c r="BN64" s="302">
        <f t="shared" si="57"/>
        <v>112.68235971222995</v>
      </c>
      <c r="BO64" s="302">
        <f t="shared" si="57"/>
        <v>112.68235971222995</v>
      </c>
      <c r="BP64" s="302">
        <f t="shared" si="57"/>
        <v>112.68235971222995</v>
      </c>
      <c r="BQ64" s="302">
        <f t="shared" si="57"/>
        <v>112.68235971222995</v>
      </c>
      <c r="BR64" s="302">
        <f t="shared" si="57"/>
        <v>112.68235971222995</v>
      </c>
      <c r="BS64" s="302">
        <f t="shared" si="57"/>
        <v>112.68235971222995</v>
      </c>
      <c r="BT64" s="302">
        <f t="shared" si="57"/>
        <v>112.68235971222995</v>
      </c>
      <c r="BU64" s="302">
        <f t="shared" si="57"/>
        <v>112.68235971222995</v>
      </c>
      <c r="BV64" s="302">
        <f t="shared" si="57"/>
        <v>112.68235971222995</v>
      </c>
      <c r="BW64" s="302">
        <f t="shared" si="57"/>
        <v>112.68235971222995</v>
      </c>
      <c r="BX64" s="302">
        <f t="shared" si="57"/>
        <v>112.68235971222995</v>
      </c>
      <c r="BY64" s="302">
        <f t="shared" si="57"/>
        <v>112.68235971222995</v>
      </c>
      <c r="BZ64" s="302">
        <f t="shared" si="57"/>
        <v>112.68235971222995</v>
      </c>
      <c r="CA64" s="302">
        <f t="shared" si="57"/>
        <v>112.68235971222995</v>
      </c>
      <c r="CB64" s="302">
        <f t="shared" si="57"/>
        <v>112.68235971222995</v>
      </c>
      <c r="CC64" s="302">
        <f t="shared" si="57"/>
        <v>112.68235971222995</v>
      </c>
      <c r="CD64" s="302">
        <f t="shared" si="57"/>
        <v>112.68235971222995</v>
      </c>
      <c r="CE64" s="302">
        <f t="shared" si="57"/>
        <v>112.68235971222995</v>
      </c>
      <c r="CF64" s="302">
        <f t="shared" si="57"/>
        <v>112.68235971222995</v>
      </c>
      <c r="CG64" s="302">
        <f t="shared" si="57"/>
        <v>112.68235971222995</v>
      </c>
      <c r="CH64" s="302">
        <f t="shared" si="57"/>
        <v>112.68235971222995</v>
      </c>
      <c r="CI64" s="302">
        <f t="shared" si="57"/>
        <v>112.68235971222995</v>
      </c>
      <c r="CJ64" s="302">
        <f t="shared" si="57"/>
        <v>112.68235971222995</v>
      </c>
      <c r="CK64" s="302"/>
      <c r="CL64" s="302"/>
      <c r="CM64" s="302"/>
      <c r="CN64" s="302"/>
      <c r="CO64" s="302"/>
      <c r="CP64" s="302"/>
      <c r="CQ64" s="296"/>
    </row>
    <row r="65" spans="1:96" hidden="1" x14ac:dyDescent="0.25">
      <c r="A65" s="397" t="s">
        <v>386</v>
      </c>
      <c r="B65" s="397" t="s">
        <v>390</v>
      </c>
      <c r="C65" s="397">
        <v>10569</v>
      </c>
      <c r="D65" s="398">
        <v>14619</v>
      </c>
      <c r="E65" s="397" t="s">
        <v>400</v>
      </c>
      <c r="F65" s="397" t="s">
        <v>401</v>
      </c>
      <c r="G65" s="317">
        <v>1689</v>
      </c>
      <c r="H65" s="317">
        <f t="shared" si="6"/>
        <v>2026.8</v>
      </c>
      <c r="I65" s="302">
        <f t="shared" si="0"/>
        <v>82.627338129496366</v>
      </c>
      <c r="J65" s="302">
        <f t="shared" si="4"/>
        <v>18.178014388489199</v>
      </c>
      <c r="K65" s="302">
        <f t="shared" si="5"/>
        <v>100.80535251798557</v>
      </c>
      <c r="L65" s="302">
        <f t="shared" ref="L65:M67" si="58">K65</f>
        <v>100.80535251798557</v>
      </c>
      <c r="M65" s="302">
        <f t="shared" si="58"/>
        <v>100.80535251798557</v>
      </c>
      <c r="N65" s="303">
        <f>($CR65/N$2)*$K65</f>
        <v>65.03571130192617</v>
      </c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2"/>
      <c r="CM65" s="302"/>
      <c r="CN65" s="302"/>
      <c r="CO65" s="302"/>
      <c r="CP65" s="302"/>
      <c r="CQ65" s="304">
        <v>42724</v>
      </c>
      <c r="CR65" s="295">
        <v>20</v>
      </c>
    </row>
    <row r="66" spans="1:96" hidden="1" x14ac:dyDescent="0.25">
      <c r="A66" s="397" t="s">
        <v>386</v>
      </c>
      <c r="B66" s="397" t="s">
        <v>387</v>
      </c>
      <c r="C66" s="397">
        <v>10576</v>
      </c>
      <c r="D66" s="398">
        <v>14678</v>
      </c>
      <c r="E66" s="397" t="s">
        <v>344</v>
      </c>
      <c r="F66" s="397" t="s">
        <v>402</v>
      </c>
      <c r="G66" s="317">
        <v>2213</v>
      </c>
      <c r="H66" s="317">
        <f t="shared" si="6"/>
        <v>2655.6</v>
      </c>
      <c r="I66" s="302">
        <f t="shared" si="0"/>
        <v>108.26187050359704</v>
      </c>
      <c r="J66" s="302">
        <f t="shared" si="4"/>
        <v>23.817611510791348</v>
      </c>
      <c r="K66" s="302">
        <f t="shared" si="5"/>
        <v>132.07948201438839</v>
      </c>
      <c r="L66" s="302">
        <f t="shared" si="58"/>
        <v>132.07948201438839</v>
      </c>
      <c r="M66" s="303">
        <f>($CR66/M$2)*$K66</f>
        <v>123.27418321342917</v>
      </c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2"/>
      <c r="CN66" s="302"/>
      <c r="CO66" s="302"/>
      <c r="CP66" s="302"/>
      <c r="CQ66" s="304">
        <v>42702</v>
      </c>
      <c r="CR66" s="295">
        <v>28</v>
      </c>
    </row>
    <row r="67" spans="1:96" hidden="1" x14ac:dyDescent="0.25">
      <c r="A67" s="397" t="s">
        <v>386</v>
      </c>
      <c r="B67" s="397" t="s">
        <v>387</v>
      </c>
      <c r="C67" s="397">
        <v>10576</v>
      </c>
      <c r="D67" s="398">
        <v>115156</v>
      </c>
      <c r="E67" s="397" t="s">
        <v>403</v>
      </c>
      <c r="F67" s="397" t="s">
        <v>404</v>
      </c>
      <c r="G67" s="317">
        <v>2175</v>
      </c>
      <c r="H67" s="317">
        <f t="shared" si="6"/>
        <v>2610</v>
      </c>
      <c r="I67" s="302">
        <f t="shared" si="0"/>
        <v>106.40287769784163</v>
      </c>
      <c r="J67" s="302">
        <f t="shared" si="4"/>
        <v>23.408633093525157</v>
      </c>
      <c r="K67" s="302">
        <f t="shared" si="5"/>
        <v>129.8115107913668</v>
      </c>
      <c r="L67" s="302">
        <f t="shared" si="58"/>
        <v>129.8115107913668</v>
      </c>
      <c r="M67" s="302">
        <f t="shared" si="58"/>
        <v>129.8115107913668</v>
      </c>
      <c r="N67" s="303">
        <f>($CR67/N$2)*$K67</f>
        <v>83.7493618008818</v>
      </c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2"/>
      <c r="CQ67" s="304">
        <v>42724</v>
      </c>
      <c r="CR67" s="295">
        <v>20</v>
      </c>
    </row>
    <row r="68" spans="1:96" hidden="1" x14ac:dyDescent="0.25">
      <c r="A68" s="397" t="s">
        <v>405</v>
      </c>
      <c r="B68" s="397" t="s">
        <v>406</v>
      </c>
      <c r="C68" s="397">
        <v>10570</v>
      </c>
      <c r="D68" s="398">
        <v>14199</v>
      </c>
      <c r="E68" s="397" t="s">
        <v>407</v>
      </c>
      <c r="F68" s="397" t="s">
        <v>408</v>
      </c>
      <c r="G68" s="317">
        <v>2168</v>
      </c>
      <c r="H68" s="317">
        <f t="shared" si="6"/>
        <v>2601.6</v>
      </c>
      <c r="I68" s="302">
        <f t="shared" si="0"/>
        <v>106.06043165467599</v>
      </c>
      <c r="J68" s="302">
        <f t="shared" si="4"/>
        <v>23.33329496402872</v>
      </c>
      <c r="K68" s="302">
        <f t="shared" si="5"/>
        <v>129.3937266187047</v>
      </c>
      <c r="L68" s="302">
        <f>K68</f>
        <v>129.3937266187047</v>
      </c>
      <c r="M68" s="302">
        <f>K68</f>
        <v>129.3937266187047</v>
      </c>
      <c r="N68" s="302">
        <f>K68</f>
        <v>129.3937266187047</v>
      </c>
      <c r="O68" s="302">
        <f>K68</f>
        <v>129.3937266187047</v>
      </c>
      <c r="P68" s="302">
        <f t="shared" ref="P68:AA70" si="59">K68</f>
        <v>129.3937266187047</v>
      </c>
      <c r="Q68" s="303">
        <f>($CR68/Q$2)*$K68</f>
        <v>54.261885356231005</v>
      </c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2"/>
      <c r="CQ68" s="304">
        <v>42807</v>
      </c>
      <c r="CR68" s="295">
        <v>13</v>
      </c>
    </row>
    <row r="69" spans="1:96" hidden="1" x14ac:dyDescent="0.25">
      <c r="A69" s="397" t="s">
        <v>405</v>
      </c>
      <c r="B69" s="397" t="s">
        <v>406</v>
      </c>
      <c r="C69" s="397">
        <v>10570</v>
      </c>
      <c r="D69" s="398">
        <v>101896</v>
      </c>
      <c r="E69" s="397" t="s">
        <v>272</v>
      </c>
      <c r="F69" s="397" t="s">
        <v>409</v>
      </c>
      <c r="G69" s="317">
        <v>2652</v>
      </c>
      <c r="H69" s="317">
        <f t="shared" si="6"/>
        <v>3182.4</v>
      </c>
      <c r="I69" s="302">
        <f>H69-(H69/1.0425)</f>
        <v>129.73812949640296</v>
      </c>
      <c r="J69" s="302">
        <f t="shared" si="4"/>
        <v>28.542388489208651</v>
      </c>
      <c r="K69" s="302">
        <f t="shared" si="5"/>
        <v>158.28051798561162</v>
      </c>
      <c r="L69" s="302">
        <f>K69</f>
        <v>158.28051798561162</v>
      </c>
      <c r="M69" s="302">
        <f>K69</f>
        <v>158.28051798561162</v>
      </c>
      <c r="N69" s="302">
        <f>K69</f>
        <v>158.28051798561162</v>
      </c>
      <c r="O69" s="302">
        <f>K69</f>
        <v>158.28051798561162</v>
      </c>
      <c r="P69" s="302">
        <f t="shared" si="59"/>
        <v>158.28051798561162</v>
      </c>
      <c r="Q69" s="302">
        <f t="shared" si="59"/>
        <v>158.28051798561162</v>
      </c>
      <c r="R69" s="302">
        <f t="shared" si="59"/>
        <v>158.28051798561162</v>
      </c>
      <c r="S69" s="302">
        <f t="shared" si="59"/>
        <v>158.28051798561162</v>
      </c>
      <c r="T69" s="302">
        <f t="shared" si="59"/>
        <v>158.28051798561162</v>
      </c>
      <c r="U69" s="302">
        <f t="shared" si="59"/>
        <v>158.28051798561162</v>
      </c>
      <c r="V69" s="302">
        <f t="shared" si="59"/>
        <v>158.28051798561162</v>
      </c>
      <c r="W69" s="303">
        <f>($CR69/W$2)*$K69</f>
        <v>100.24432805755403</v>
      </c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4">
        <v>42997</v>
      </c>
      <c r="CR69" s="295">
        <v>19</v>
      </c>
    </row>
    <row r="70" spans="1:96" hidden="1" x14ac:dyDescent="0.25">
      <c r="A70" s="397" t="s">
        <v>405</v>
      </c>
      <c r="B70" s="397" t="s">
        <v>406</v>
      </c>
      <c r="C70" s="397">
        <v>10570</v>
      </c>
      <c r="D70" s="398">
        <v>76670</v>
      </c>
      <c r="E70" s="397" t="s">
        <v>410</v>
      </c>
      <c r="F70" s="397" t="s">
        <v>411</v>
      </c>
      <c r="G70" s="317">
        <v>1880</v>
      </c>
      <c r="H70" s="317">
        <f t="shared" si="6"/>
        <v>2256</v>
      </c>
      <c r="I70" s="302">
        <f>H70-(H70/1.0425)</f>
        <v>91.971223021582773</v>
      </c>
      <c r="J70" s="302">
        <f>I70*J$2</f>
        <v>20.233669064748209</v>
      </c>
      <c r="K70" s="302">
        <f>I70+J70</f>
        <v>112.20489208633099</v>
      </c>
      <c r="L70" s="302">
        <f>K70</f>
        <v>112.20489208633099</v>
      </c>
      <c r="M70" s="302">
        <f>K70</f>
        <v>112.20489208633099</v>
      </c>
      <c r="N70" s="302">
        <f>K70</f>
        <v>112.20489208633099</v>
      </c>
      <c r="O70" s="302">
        <f>K70</f>
        <v>112.20489208633099</v>
      </c>
      <c r="P70" s="302">
        <f t="shared" si="59"/>
        <v>112.20489208633099</v>
      </c>
      <c r="Q70" s="302">
        <f t="shared" si="59"/>
        <v>112.20489208633099</v>
      </c>
      <c r="R70" s="302">
        <f t="shared" si="59"/>
        <v>112.20489208633099</v>
      </c>
      <c r="S70" s="302">
        <f t="shared" si="59"/>
        <v>112.20489208633099</v>
      </c>
      <c r="T70" s="302">
        <f t="shared" si="59"/>
        <v>112.20489208633099</v>
      </c>
      <c r="U70" s="302">
        <f t="shared" si="59"/>
        <v>112.20489208633099</v>
      </c>
      <c r="V70" s="302">
        <f t="shared" si="59"/>
        <v>112.20489208633099</v>
      </c>
      <c r="W70" s="302">
        <f t="shared" si="59"/>
        <v>112.20489208633099</v>
      </c>
      <c r="X70" s="302">
        <f t="shared" si="59"/>
        <v>112.20489208633099</v>
      </c>
      <c r="Y70" s="302">
        <f t="shared" si="59"/>
        <v>112.20489208633099</v>
      </c>
      <c r="Z70" s="302">
        <f t="shared" si="59"/>
        <v>112.20489208633099</v>
      </c>
      <c r="AA70" s="302">
        <f t="shared" si="59"/>
        <v>112.20489208633099</v>
      </c>
      <c r="AB70" s="303">
        <f>($CR70/AB$2)*$K70</f>
        <v>76.139033915724596</v>
      </c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4">
        <v>43150</v>
      </c>
      <c r="CR70" s="295">
        <v>19</v>
      </c>
    </row>
    <row r="71" spans="1:96" ht="12.6" thickBot="1" x14ac:dyDescent="0.3">
      <c r="I71" s="305">
        <f t="shared" ref="I71:O71" si="60">SUM(I4:I70)</f>
        <v>6601.1366906474777</v>
      </c>
      <c r="J71" s="305">
        <f t="shared" si="60"/>
        <v>1452.2500719424449</v>
      </c>
      <c r="K71" s="305">
        <f t="shared" si="60"/>
        <v>8053.3867625899265</v>
      </c>
      <c r="L71" s="402">
        <f t="shared" si="60"/>
        <v>7924.6553297748878</v>
      </c>
      <c r="M71" s="402">
        <f t="shared" si="60"/>
        <v>7434.0276949640256</v>
      </c>
      <c r="N71" s="402">
        <f t="shared" si="60"/>
        <v>6815.9273706196309</v>
      </c>
      <c r="O71" s="402">
        <f t="shared" si="60"/>
        <v>5861.2520306335546</v>
      </c>
      <c r="P71" s="402">
        <f>SUM(P4:P70)</f>
        <v>5208.3511510791332</v>
      </c>
      <c r="Q71" s="402">
        <f t="shared" ref="Q71:AE71" si="61">SUM(Q4:Q70)</f>
        <v>5075.8485903921983</v>
      </c>
      <c r="R71" s="402">
        <f t="shared" si="61"/>
        <v>4929.8353323740976</v>
      </c>
      <c r="S71" s="402">
        <f t="shared" si="61"/>
        <v>4737.1661712694331</v>
      </c>
      <c r="T71" s="402">
        <f t="shared" si="61"/>
        <v>4639.2903136690611</v>
      </c>
      <c r="U71" s="402">
        <f t="shared" si="61"/>
        <v>4608.7235293571566</v>
      </c>
      <c r="V71" s="402">
        <f t="shared" si="61"/>
        <v>4598.9681726618674</v>
      </c>
      <c r="W71" s="402">
        <f t="shared" si="61"/>
        <v>4445.9397985611486</v>
      </c>
      <c r="X71" s="402">
        <f t="shared" si="61"/>
        <v>4213.4727482014359</v>
      </c>
      <c r="Y71" s="402">
        <f t="shared" si="61"/>
        <v>4135.7231136690616</v>
      </c>
      <c r="Z71" s="402">
        <f t="shared" si="61"/>
        <v>4102.4018417266152</v>
      </c>
      <c r="AA71" s="402">
        <f t="shared" si="61"/>
        <v>3988.9686256672057</v>
      </c>
      <c r="AB71" s="402">
        <f t="shared" si="61"/>
        <v>3829.3329907502543</v>
      </c>
      <c r="AC71" s="402">
        <f t="shared" si="61"/>
        <v>3519.6198746808986</v>
      </c>
      <c r="AD71" s="402">
        <f t="shared" si="61"/>
        <v>3304.4559558752981</v>
      </c>
      <c r="AE71" s="402">
        <f t="shared" si="61"/>
        <v>3306.2996611742842</v>
      </c>
      <c r="AF71" s="402">
        <f t="shared" ref="AF71:AL71" si="62">SUM(AF4:AF70)</f>
        <v>3257.5228776978397</v>
      </c>
      <c r="AG71" s="402">
        <f t="shared" si="62"/>
        <v>3257.5228776978397</v>
      </c>
      <c r="AH71" s="599">
        <f t="shared" si="62"/>
        <v>3144.8405179856099</v>
      </c>
      <c r="AI71" s="600">
        <f t="shared" si="62"/>
        <v>3044.0351654676247</v>
      </c>
      <c r="AJ71" s="600">
        <f t="shared" si="62"/>
        <v>3044.0351654676247</v>
      </c>
      <c r="AK71" s="600">
        <f t="shared" si="62"/>
        <v>3044.0351654676247</v>
      </c>
      <c r="AL71" s="600">
        <f t="shared" si="62"/>
        <v>2931.8302733812934</v>
      </c>
      <c r="AM71" s="600">
        <f t="shared" ref="AM71:AR71" si="63">SUM(AM4:AM70)</f>
        <v>2931.8302733812934</v>
      </c>
      <c r="AN71" s="600">
        <f t="shared" si="63"/>
        <v>2931.8302733812934</v>
      </c>
      <c r="AO71" s="600">
        <f t="shared" si="63"/>
        <v>2931.8302733812934</v>
      </c>
      <c r="AP71" s="600">
        <f t="shared" si="63"/>
        <v>2729.8614676258976</v>
      </c>
      <c r="AQ71" s="600">
        <f t="shared" si="63"/>
        <v>2729.8614676258976</v>
      </c>
      <c r="AR71" s="600">
        <f t="shared" si="63"/>
        <v>2729.8614676258976</v>
      </c>
      <c r="AS71" s="600">
        <f t="shared" ref="AS71:AY71" si="64">SUM(AS4:AS70)</f>
        <v>2587.0389640287758</v>
      </c>
      <c r="AT71" s="600">
        <f t="shared" si="64"/>
        <v>2587.0389640287758</v>
      </c>
      <c r="AU71" s="600">
        <f t="shared" si="64"/>
        <v>2587.0389640287758</v>
      </c>
      <c r="AV71" s="600">
        <f t="shared" si="64"/>
        <v>2587.0389640287758</v>
      </c>
      <c r="AW71" s="600">
        <f t="shared" si="64"/>
        <v>2587.0389640287758</v>
      </c>
      <c r="AX71" s="600">
        <f t="shared" si="64"/>
        <v>2587.0389640287758</v>
      </c>
      <c r="AY71" s="600">
        <f t="shared" si="64"/>
        <v>2587.0389640287758</v>
      </c>
      <c r="AZ71" s="600">
        <f>SUM(AZ4:AZ70)</f>
        <v>2587.0389640287758</v>
      </c>
      <c r="BA71" s="600">
        <f>SUM(BA4:BA70)</f>
        <v>2587.0389640287758</v>
      </c>
      <c r="BB71" s="600">
        <f t="shared" ref="BB71:BK71" si="65">SUM(BB4:BB70)</f>
        <v>2587.0389640287758</v>
      </c>
      <c r="BC71" s="600">
        <f t="shared" si="65"/>
        <v>2587.0389640287758</v>
      </c>
      <c r="BD71" s="600">
        <f t="shared" si="65"/>
        <v>2587.0389640287758</v>
      </c>
      <c r="BE71" s="600">
        <f t="shared" si="65"/>
        <v>2587.0389640287758</v>
      </c>
      <c r="BF71" s="600">
        <f t="shared" si="65"/>
        <v>2587.0389640287758</v>
      </c>
      <c r="BG71" s="600">
        <f t="shared" si="65"/>
        <v>2587.0389640287758</v>
      </c>
      <c r="BH71" s="600">
        <f t="shared" si="65"/>
        <v>2587.0389640287758</v>
      </c>
      <c r="BI71" s="600">
        <f t="shared" si="65"/>
        <v>2587.0389640287758</v>
      </c>
      <c r="BJ71" s="600">
        <f t="shared" si="65"/>
        <v>2587.0389640287758</v>
      </c>
      <c r="BK71" s="600">
        <f t="shared" si="65"/>
        <v>2587.0389640287758</v>
      </c>
      <c r="BL71" s="600">
        <f t="shared" ref="BL71:BR71" si="66">SUM(BL4:BL70)</f>
        <v>2587.0389640287758</v>
      </c>
      <c r="BM71" s="600">
        <f t="shared" si="66"/>
        <v>2462.1811798561139</v>
      </c>
      <c r="BN71" s="600">
        <f t="shared" si="66"/>
        <v>2462.1811798561139</v>
      </c>
      <c r="BO71" s="600">
        <f t="shared" si="66"/>
        <v>2462.1811798561139</v>
      </c>
      <c r="BP71" s="600">
        <f t="shared" si="66"/>
        <v>2462.1811798561139</v>
      </c>
      <c r="BQ71" s="600">
        <f t="shared" si="66"/>
        <v>2462.1811798561139</v>
      </c>
      <c r="BR71" s="600">
        <f t="shared" si="66"/>
        <v>2462.1811798561139</v>
      </c>
      <c r="BS71" s="600">
        <f t="shared" ref="BS71:CK71" si="67">SUM(BS4:BS70)</f>
        <v>2462.1811798561139</v>
      </c>
      <c r="BT71" s="600">
        <f t="shared" si="67"/>
        <v>2462.1811798561139</v>
      </c>
      <c r="BU71" s="600">
        <f t="shared" si="67"/>
        <v>2462.1811798561139</v>
      </c>
      <c r="BV71" s="600">
        <f t="shared" si="67"/>
        <v>2462.1811798561139</v>
      </c>
      <c r="BW71" s="600">
        <f t="shared" si="67"/>
        <v>2462.1811798561139</v>
      </c>
      <c r="BX71" s="600">
        <f t="shared" si="67"/>
        <v>2462.1811798561139</v>
      </c>
      <c r="BY71" s="600">
        <f t="shared" si="67"/>
        <v>2462.1811798561139</v>
      </c>
      <c r="BZ71" s="600">
        <f t="shared" si="67"/>
        <v>2462.1811798561139</v>
      </c>
      <c r="CA71" s="600">
        <f t="shared" si="67"/>
        <v>2462.1811798561139</v>
      </c>
      <c r="CB71" s="600">
        <f t="shared" si="67"/>
        <v>2329.5048633093511</v>
      </c>
      <c r="CC71" s="600">
        <f t="shared" si="67"/>
        <v>2329.5048633093511</v>
      </c>
      <c r="CD71" s="600">
        <f t="shared" si="67"/>
        <v>2329.5048633093511</v>
      </c>
      <c r="CE71" s="600">
        <f t="shared" si="67"/>
        <v>2136.1276690647474</v>
      </c>
      <c r="CF71" s="600">
        <f t="shared" si="67"/>
        <v>2232.8176690647474</v>
      </c>
      <c r="CG71" s="600">
        <f t="shared" si="67"/>
        <v>2232.8176690647474</v>
      </c>
      <c r="CH71" s="600">
        <f t="shared" si="67"/>
        <v>2232.8176690647474</v>
      </c>
      <c r="CI71" s="600">
        <f t="shared" si="67"/>
        <v>2232.8176690647474</v>
      </c>
      <c r="CJ71" s="600">
        <f t="shared" si="67"/>
        <v>2232.8176690647474</v>
      </c>
      <c r="CK71" s="600">
        <f t="shared" si="67"/>
        <v>717.15000000000009</v>
      </c>
      <c r="CL71" s="600">
        <f t="shared" ref="CL71:CM71" si="68">SUM(CL4:CL70)</f>
        <v>717.15000000000009</v>
      </c>
      <c r="CM71" s="600">
        <f t="shared" si="68"/>
        <v>717.15000000000009</v>
      </c>
      <c r="CN71" s="600">
        <f t="shared" ref="CN71:CO71" si="69">SUM(CN4:CN70)</f>
        <v>717.15000000000009</v>
      </c>
      <c r="CO71" s="600">
        <f t="shared" si="69"/>
        <v>717.15000000000009</v>
      </c>
      <c r="CP71" s="600">
        <f t="shared" ref="CP71" si="70">SUM(CP4:CP70)</f>
        <v>717.15000000000009</v>
      </c>
      <c r="CQ71" s="296"/>
    </row>
    <row r="72" spans="1:96" ht="12.6" thickTop="1" x14ac:dyDescent="0.25">
      <c r="Q72" s="295"/>
      <c r="CQ72" s="296"/>
    </row>
    <row r="73" spans="1:96" x14ac:dyDescent="0.25">
      <c r="K73" s="306" t="s">
        <v>412</v>
      </c>
      <c r="L73" s="307">
        <f>L71/(1+$J$2)</f>
        <v>6495.6191227663021</v>
      </c>
      <c r="M73" s="307">
        <f t="shared" ref="M73:AE73" si="71">M71/(1+$J$2)</f>
        <v>6093.4653237410048</v>
      </c>
      <c r="N73" s="307">
        <f t="shared" si="71"/>
        <v>5586.8257136226484</v>
      </c>
      <c r="O73" s="307">
        <f t="shared" si="71"/>
        <v>4804.3049431422578</v>
      </c>
      <c r="P73" s="307">
        <f t="shared" si="71"/>
        <v>4269.140287769781</v>
      </c>
      <c r="Q73" s="307">
        <f t="shared" si="71"/>
        <v>4160.5316314690153</v>
      </c>
      <c r="R73" s="307">
        <f t="shared" si="71"/>
        <v>4040.8486330935225</v>
      </c>
      <c r="S73" s="307">
        <f t="shared" si="71"/>
        <v>3882.9230912044536</v>
      </c>
      <c r="T73" s="307">
        <f t="shared" si="71"/>
        <v>3802.6969784172634</v>
      </c>
      <c r="U73" s="307">
        <f t="shared" si="71"/>
        <v>3777.6422371779972</v>
      </c>
      <c r="V73" s="307">
        <f t="shared" si="71"/>
        <v>3769.646043165465</v>
      </c>
      <c r="W73" s="307">
        <f t="shared" si="71"/>
        <v>3644.2129496402858</v>
      </c>
      <c r="X73" s="307">
        <f t="shared" si="71"/>
        <v>3453.6661870503576</v>
      </c>
      <c r="Y73" s="307">
        <f t="shared" si="71"/>
        <v>3389.9369784172636</v>
      </c>
      <c r="Z73" s="307">
        <f t="shared" si="71"/>
        <v>3362.6244604316521</v>
      </c>
      <c r="AA73" s="307">
        <f t="shared" si="71"/>
        <v>3269.6464144813162</v>
      </c>
      <c r="AB73" s="307">
        <f t="shared" si="71"/>
        <v>3138.7975334018479</v>
      </c>
      <c r="AC73" s="307">
        <f t="shared" si="71"/>
        <v>2884.9343235089332</v>
      </c>
      <c r="AD73" s="307">
        <f t="shared" si="71"/>
        <v>2708.5704556354904</v>
      </c>
      <c r="AE73" s="307">
        <f t="shared" si="71"/>
        <v>2710.0816894871182</v>
      </c>
      <c r="AF73" s="307">
        <f>AF71/(1+$J$2)</f>
        <v>2670.1007194244589</v>
      </c>
      <c r="AG73" s="307">
        <f>AG71/(1+$J$2)</f>
        <v>2670.1007194244589</v>
      </c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  <c r="BR73" s="307"/>
      <c r="BS73" s="307"/>
      <c r="BT73" s="307"/>
      <c r="BU73" s="307"/>
      <c r="BV73" s="307"/>
      <c r="BW73" s="307"/>
      <c r="BX73" s="307"/>
      <c r="BY73" s="307"/>
      <c r="BZ73" s="307"/>
      <c r="CA73" s="307"/>
      <c r="CB73" s="307"/>
      <c r="CC73" s="307"/>
      <c r="CD73" s="307"/>
      <c r="CE73" s="307"/>
      <c r="CF73" s="307"/>
      <c r="CG73" s="307"/>
      <c r="CH73" s="307"/>
      <c r="CI73" s="307"/>
      <c r="CJ73" s="307"/>
      <c r="CK73" s="307"/>
      <c r="CL73" s="307"/>
      <c r="CM73" s="307"/>
      <c r="CN73" s="307"/>
      <c r="CO73" s="307"/>
      <c r="CP73" s="307"/>
    </row>
    <row r="74" spans="1:96" x14ac:dyDescent="0.25">
      <c r="K74" s="306" t="s">
        <v>413</v>
      </c>
      <c r="L74" s="308">
        <f>L71-L73</f>
        <v>1429.0362070085857</v>
      </c>
      <c r="M74" s="308">
        <f t="shared" ref="M74:AE74" si="72">M71-M73</f>
        <v>1340.5623712230208</v>
      </c>
      <c r="N74" s="308">
        <f t="shared" si="72"/>
        <v>1229.1016569969825</v>
      </c>
      <c r="O74" s="308">
        <f t="shared" si="72"/>
        <v>1056.9470874912968</v>
      </c>
      <c r="P74" s="308">
        <f t="shared" si="72"/>
        <v>939.21086330935213</v>
      </c>
      <c r="Q74" s="308">
        <f t="shared" si="72"/>
        <v>915.31695892318294</v>
      </c>
      <c r="R74" s="308">
        <f t="shared" si="72"/>
        <v>888.98669928057507</v>
      </c>
      <c r="S74" s="308">
        <f t="shared" si="72"/>
        <v>854.24308006497949</v>
      </c>
      <c r="T74" s="308">
        <f t="shared" si="72"/>
        <v>836.59333525179773</v>
      </c>
      <c r="U74" s="308">
        <f t="shared" si="72"/>
        <v>831.08129217915939</v>
      </c>
      <c r="V74" s="308">
        <f t="shared" si="72"/>
        <v>829.32212949640234</v>
      </c>
      <c r="W74" s="308">
        <f t="shared" si="72"/>
        <v>801.72684892086272</v>
      </c>
      <c r="X74" s="308">
        <f t="shared" si="72"/>
        <v>759.80656115107831</v>
      </c>
      <c r="Y74" s="308">
        <f t="shared" si="72"/>
        <v>745.78613525179799</v>
      </c>
      <c r="Z74" s="308">
        <f t="shared" si="72"/>
        <v>739.77738129496311</v>
      </c>
      <c r="AA74" s="308">
        <f t="shared" si="72"/>
        <v>719.3222111858895</v>
      </c>
      <c r="AB74" s="308">
        <f t="shared" si="72"/>
        <v>690.53545734840645</v>
      </c>
      <c r="AC74" s="308">
        <f t="shared" si="72"/>
        <v>634.68555117196547</v>
      </c>
      <c r="AD74" s="308">
        <f t="shared" si="72"/>
        <v>595.8855002398077</v>
      </c>
      <c r="AE74" s="308">
        <f t="shared" si="72"/>
        <v>596.21797168716603</v>
      </c>
      <c r="AF74" s="308">
        <f>AF71-AF73</f>
        <v>587.42215827338077</v>
      </c>
      <c r="AG74" s="308">
        <f>AG71-AG73</f>
        <v>587.42215827338077</v>
      </c>
      <c r="AH74" s="308"/>
      <c r="AI74" s="308"/>
      <c r="AJ74" s="308"/>
      <c r="AK74" s="308"/>
      <c r="AL74" s="308"/>
      <c r="AM74" s="308"/>
      <c r="AN74" s="308"/>
      <c r="AO74" s="308"/>
      <c r="AP74" s="308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</row>
    <row r="76" spans="1:96" x14ac:dyDescent="0.25">
      <c r="P76" s="309"/>
    </row>
    <row r="77" spans="1:96" x14ac:dyDescent="0.25">
      <c r="P77" s="309"/>
    </row>
    <row r="80" spans="1:96" ht="15.75" customHeight="1" thickBot="1" x14ac:dyDescent="0.3">
      <c r="J80" s="900" t="s">
        <v>414</v>
      </c>
      <c r="K80" s="901"/>
      <c r="L80" s="901"/>
      <c r="M80" s="901"/>
      <c r="N80" s="901"/>
      <c r="O80" s="901"/>
      <c r="P80" s="901"/>
      <c r="Q80" s="901"/>
      <c r="R80" s="901"/>
      <c r="S80" s="901"/>
      <c r="T80" s="901"/>
      <c r="U80" s="901"/>
      <c r="V80" s="901"/>
      <c r="W80" s="901"/>
      <c r="X80" s="901"/>
      <c r="Y80" s="901"/>
      <c r="Z80" s="901"/>
      <c r="AA80" s="901"/>
      <c r="AB80" s="901"/>
      <c r="AC80" s="901"/>
      <c r="AD80" s="901"/>
      <c r="AE80" s="901"/>
      <c r="AF80" s="901"/>
      <c r="AG80" s="548"/>
      <c r="AH80" s="548"/>
      <c r="AI80" s="548"/>
      <c r="AJ80" s="548"/>
      <c r="AK80" s="548"/>
      <c r="AL80" s="548"/>
      <c r="AM80" s="548"/>
      <c r="AN80" s="548"/>
      <c r="AO80" s="548"/>
      <c r="AP80" s="548"/>
      <c r="AQ80" s="548"/>
      <c r="AR80" s="548"/>
      <c r="AS80" s="548"/>
      <c r="AT80" s="548"/>
      <c r="AU80" s="548"/>
      <c r="AV80" s="548"/>
      <c r="AW80" s="548"/>
      <c r="AX80" s="548"/>
      <c r="AY80" s="548"/>
      <c r="AZ80" s="548"/>
      <c r="BA80" s="548"/>
      <c r="BB80" s="548"/>
      <c r="BC80" s="548"/>
      <c r="BD80" s="548"/>
      <c r="BE80" s="548"/>
      <c r="BF80" s="548"/>
      <c r="BG80" s="548"/>
      <c r="BH80" s="548"/>
      <c r="BI80" s="548"/>
      <c r="BJ80" s="548"/>
      <c r="BK80" s="548"/>
      <c r="BL80" s="548"/>
      <c r="BM80" s="548"/>
      <c r="BN80" s="548"/>
      <c r="BO80" s="548"/>
      <c r="BP80" s="548"/>
      <c r="BQ80" s="548"/>
      <c r="BR80" s="548"/>
      <c r="BS80" s="548"/>
      <c r="BT80" s="548"/>
      <c r="BU80" s="548"/>
      <c r="BV80" s="548"/>
      <c r="BW80" s="548"/>
      <c r="BX80" s="548"/>
      <c r="BY80" s="548"/>
      <c r="BZ80" s="548"/>
      <c r="CA80" s="548"/>
      <c r="CB80" s="548"/>
      <c r="CC80" s="548"/>
      <c r="CD80" s="548"/>
      <c r="CE80" s="548"/>
      <c r="CF80" s="548"/>
      <c r="CG80" s="548"/>
      <c r="CH80" s="548"/>
      <c r="CI80" s="548"/>
      <c r="CJ80" s="548"/>
      <c r="CK80" s="548"/>
      <c r="CL80" s="548"/>
      <c r="CM80" s="548"/>
      <c r="CN80" s="548"/>
      <c r="CO80" s="548"/>
      <c r="CP80" s="548"/>
    </row>
    <row r="81" spans="9:95" x14ac:dyDescent="0.25">
      <c r="J81" s="310" t="s">
        <v>415</v>
      </c>
      <c r="K81" s="311" t="s">
        <v>416</v>
      </c>
      <c r="L81" s="311" t="s">
        <v>417</v>
      </c>
      <c r="M81" s="311" t="s">
        <v>418</v>
      </c>
      <c r="N81" s="311" t="s">
        <v>419</v>
      </c>
      <c r="O81" s="311" t="s">
        <v>420</v>
      </c>
      <c r="P81" s="375" t="s">
        <v>421</v>
      </c>
      <c r="Q81" s="375" t="s">
        <v>422</v>
      </c>
      <c r="R81" s="375" t="s">
        <v>423</v>
      </c>
      <c r="S81" s="316" t="s">
        <v>424</v>
      </c>
      <c r="T81" s="460" t="s">
        <v>425</v>
      </c>
      <c r="U81" s="460" t="s">
        <v>432</v>
      </c>
      <c r="V81" s="460" t="s">
        <v>433</v>
      </c>
      <c r="W81" s="460" t="s">
        <v>436</v>
      </c>
      <c r="X81" s="460" t="s">
        <v>438</v>
      </c>
      <c r="Y81" s="460" t="s">
        <v>444</v>
      </c>
      <c r="Z81" s="460" t="s">
        <v>446</v>
      </c>
      <c r="AA81" s="460" t="s">
        <v>455</v>
      </c>
      <c r="AB81" s="460" t="s">
        <v>456</v>
      </c>
      <c r="AC81" s="460" t="s">
        <v>469</v>
      </c>
      <c r="AD81" s="460" t="s">
        <v>477</v>
      </c>
      <c r="AE81" s="460" t="s">
        <v>424</v>
      </c>
      <c r="AF81" s="460" t="s">
        <v>425</v>
      </c>
      <c r="AG81" s="460" t="s">
        <v>432</v>
      </c>
      <c r="AH81" s="574" t="s">
        <v>501</v>
      </c>
      <c r="AI81" s="574" t="s">
        <v>502</v>
      </c>
      <c r="AJ81" s="574" t="s">
        <v>520</v>
      </c>
      <c r="AK81" s="574" t="s">
        <v>535</v>
      </c>
      <c r="AL81" s="574" t="s">
        <v>536</v>
      </c>
      <c r="AM81" s="574" t="s">
        <v>541</v>
      </c>
      <c r="AN81" s="574" t="s">
        <v>544</v>
      </c>
      <c r="AO81" s="574" t="s">
        <v>546</v>
      </c>
      <c r="AP81" s="574" t="s">
        <v>549</v>
      </c>
      <c r="AQ81" s="574" t="s">
        <v>550</v>
      </c>
      <c r="AR81" s="574" t="s">
        <v>552</v>
      </c>
      <c r="AS81" s="574" t="s">
        <v>553</v>
      </c>
      <c r="AT81" s="574" t="s">
        <v>501</v>
      </c>
      <c r="AU81" s="574" t="s">
        <v>502</v>
      </c>
      <c r="AV81" s="574" t="s">
        <v>520</v>
      </c>
      <c r="AW81" s="574" t="s">
        <v>535</v>
      </c>
      <c r="AX81" s="574" t="s">
        <v>536</v>
      </c>
      <c r="AY81" s="574" t="s">
        <v>541</v>
      </c>
      <c r="AZ81" s="574" t="s">
        <v>544</v>
      </c>
      <c r="BA81" s="574" t="s">
        <v>546</v>
      </c>
      <c r="BB81" s="574" t="s">
        <v>549</v>
      </c>
      <c r="BC81" s="574" t="s">
        <v>550</v>
      </c>
      <c r="BD81" s="574" t="s">
        <v>552</v>
      </c>
      <c r="BE81" s="574" t="s">
        <v>553</v>
      </c>
      <c r="BF81" s="574" t="s">
        <v>501</v>
      </c>
      <c r="BG81" s="574" t="s">
        <v>502</v>
      </c>
      <c r="BH81" s="574" t="s">
        <v>520</v>
      </c>
      <c r="BI81" s="574" t="s">
        <v>535</v>
      </c>
      <c r="BJ81" s="574" t="s">
        <v>536</v>
      </c>
      <c r="BK81" s="574" t="s">
        <v>541</v>
      </c>
      <c r="BL81" s="574" t="s">
        <v>544</v>
      </c>
      <c r="BM81" s="574" t="s">
        <v>546</v>
      </c>
      <c r="BN81" s="574" t="s">
        <v>549</v>
      </c>
      <c r="BO81" s="574" t="s">
        <v>550</v>
      </c>
      <c r="BP81" s="548" t="s">
        <v>632</v>
      </c>
      <c r="BQ81" s="548" t="s">
        <v>553</v>
      </c>
      <c r="BR81" s="548" t="s">
        <v>501</v>
      </c>
      <c r="BS81" s="548" t="s">
        <v>502</v>
      </c>
      <c r="BT81" s="548" t="s">
        <v>520</v>
      </c>
      <c r="BU81" s="548" t="s">
        <v>535</v>
      </c>
      <c r="BV81" s="548" t="s">
        <v>536</v>
      </c>
      <c r="BW81" s="548" t="s">
        <v>541</v>
      </c>
      <c r="BX81" s="548" t="s">
        <v>544</v>
      </c>
      <c r="BY81" s="548" t="s">
        <v>546</v>
      </c>
      <c r="BZ81" s="574" t="s">
        <v>549</v>
      </c>
      <c r="CA81" s="574" t="s">
        <v>550</v>
      </c>
      <c r="CB81" s="574" t="s">
        <v>552</v>
      </c>
      <c r="CC81" s="574" t="s">
        <v>553</v>
      </c>
      <c r="CD81" s="574" t="s">
        <v>501</v>
      </c>
      <c r="CE81" s="574" t="s">
        <v>502</v>
      </c>
      <c r="CF81" s="574" t="s">
        <v>520</v>
      </c>
      <c r="CG81" s="574" t="s">
        <v>535</v>
      </c>
      <c r="CH81" s="574" t="s">
        <v>536</v>
      </c>
      <c r="CI81" s="574" t="s">
        <v>541</v>
      </c>
      <c r="CJ81" s="574" t="s">
        <v>544</v>
      </c>
      <c r="CK81" s="574" t="s">
        <v>546</v>
      </c>
      <c r="CL81" s="574" t="s">
        <v>549</v>
      </c>
      <c r="CM81" s="574" t="s">
        <v>550</v>
      </c>
      <c r="CN81" s="574" t="s">
        <v>552</v>
      </c>
      <c r="CO81" s="574" t="s">
        <v>553</v>
      </c>
      <c r="CP81" s="574" t="s">
        <v>501</v>
      </c>
    </row>
    <row r="82" spans="9:95" x14ac:dyDescent="0.25">
      <c r="I82" s="295" t="s">
        <v>164</v>
      </c>
      <c r="J82" s="403">
        <v>10563</v>
      </c>
      <c r="K82" s="404" t="s">
        <v>270</v>
      </c>
      <c r="L82" s="405">
        <f t="shared" ref="L82:AG93" si="73">SUMIF($C$4:$C$70,$J82,L$4:L$70)</f>
        <v>1103.321793455558</v>
      </c>
      <c r="M82" s="405">
        <f t="shared" si="73"/>
        <v>832.15047290167854</v>
      </c>
      <c r="N82" s="405">
        <f t="shared" si="73"/>
        <v>753.37267857971688</v>
      </c>
      <c r="O82" s="406">
        <f t="shared" si="73"/>
        <v>528.68758041308899</v>
      </c>
      <c r="P82" s="405">
        <f t="shared" si="73"/>
        <v>453.83297841726642</v>
      </c>
      <c r="Q82" s="405">
        <f t="shared" si="73"/>
        <v>453.83297841726642</v>
      </c>
      <c r="R82" s="405">
        <f t="shared" si="73"/>
        <v>453.83297841726642</v>
      </c>
      <c r="S82" s="405">
        <f t="shared" si="73"/>
        <v>453.83297841726642</v>
      </c>
      <c r="T82" s="575">
        <f t="shared" si="73"/>
        <v>453.83297841726642</v>
      </c>
      <c r="U82" s="575">
        <f t="shared" si="73"/>
        <v>453.83297841726642</v>
      </c>
      <c r="V82" s="461">
        <f t="shared" si="73"/>
        <v>453.83297841726642</v>
      </c>
      <c r="W82" s="461">
        <f t="shared" si="73"/>
        <v>453.83297841726642</v>
      </c>
      <c r="X82" s="461">
        <f t="shared" si="73"/>
        <v>453.83297841726642</v>
      </c>
      <c r="Y82" s="461">
        <f t="shared" si="73"/>
        <v>453.83297841726642</v>
      </c>
      <c r="Z82" s="461">
        <f t="shared" si="73"/>
        <v>453.83297841726642</v>
      </c>
      <c r="AA82" s="461">
        <f t="shared" si="73"/>
        <v>453.83297841726642</v>
      </c>
      <c r="AB82" s="461">
        <f t="shared" si="73"/>
        <v>453.83297841726642</v>
      </c>
      <c r="AC82" s="461">
        <f t="shared" si="73"/>
        <v>453.83297841726642</v>
      </c>
      <c r="AD82" s="461">
        <f t="shared" si="73"/>
        <v>453.83297841726642</v>
      </c>
      <c r="AE82" s="461">
        <f t="shared" si="73"/>
        <v>453.83297841726642</v>
      </c>
      <c r="AF82" s="461">
        <f t="shared" ref="AF82:BP82" si="74">SUMIF($C$4:$C$70,$J82,AF$4:AF$70)</f>
        <v>453.83297841726642</v>
      </c>
      <c r="AG82" s="461">
        <f t="shared" si="74"/>
        <v>453.83297841726642</v>
      </c>
      <c r="AH82" s="576">
        <f t="shared" si="74"/>
        <v>453.83297841726642</v>
      </c>
      <c r="AI82" s="576">
        <f t="shared" si="74"/>
        <v>453.83297841726642</v>
      </c>
      <c r="AJ82" s="576">
        <f t="shared" si="74"/>
        <v>453.83297841726642</v>
      </c>
      <c r="AK82" s="576">
        <f t="shared" si="74"/>
        <v>453.83297841726642</v>
      </c>
      <c r="AL82" s="576">
        <f t="shared" si="74"/>
        <v>453.83297841726642</v>
      </c>
      <c r="AM82" s="576">
        <f t="shared" si="74"/>
        <v>453.83297841726642</v>
      </c>
      <c r="AN82" s="576">
        <f t="shared" si="74"/>
        <v>453.83297841726642</v>
      </c>
      <c r="AO82" s="576">
        <f t="shared" si="74"/>
        <v>453.83297841726642</v>
      </c>
      <c r="AP82" s="576">
        <f t="shared" si="74"/>
        <v>453.83297841726642</v>
      </c>
      <c r="AQ82" s="576">
        <f t="shared" si="74"/>
        <v>453.83297841726642</v>
      </c>
      <c r="AR82" s="576">
        <f t="shared" si="74"/>
        <v>453.83297841726642</v>
      </c>
      <c r="AS82" s="576">
        <f t="shared" si="74"/>
        <v>453.83297841726642</v>
      </c>
      <c r="AT82" s="576">
        <f t="shared" si="74"/>
        <v>453.83297841726642</v>
      </c>
      <c r="AU82" s="576">
        <f t="shared" si="74"/>
        <v>453.83297841726642</v>
      </c>
      <c r="AV82" s="576">
        <f t="shared" si="74"/>
        <v>453.83297841726642</v>
      </c>
      <c r="AW82" s="576">
        <f t="shared" si="74"/>
        <v>453.83297841726642</v>
      </c>
      <c r="AX82" s="576">
        <f t="shared" si="74"/>
        <v>453.83297841726642</v>
      </c>
      <c r="AY82" s="576">
        <f t="shared" si="74"/>
        <v>453.83297841726642</v>
      </c>
      <c r="AZ82" s="576">
        <f t="shared" si="74"/>
        <v>453.83297841726642</v>
      </c>
      <c r="BA82" s="576">
        <f t="shared" si="74"/>
        <v>453.83297841726642</v>
      </c>
      <c r="BB82" s="576">
        <f t="shared" si="74"/>
        <v>453.83297841726642</v>
      </c>
      <c r="BC82" s="576">
        <f t="shared" si="74"/>
        <v>453.83297841726642</v>
      </c>
      <c r="BD82" s="576">
        <f t="shared" si="74"/>
        <v>453.83297841726642</v>
      </c>
      <c r="BE82" s="576">
        <f t="shared" si="74"/>
        <v>453.83297841726642</v>
      </c>
      <c r="BF82" s="576">
        <f t="shared" si="74"/>
        <v>453.83297841726642</v>
      </c>
      <c r="BG82" s="576">
        <f t="shared" si="74"/>
        <v>453.83297841726642</v>
      </c>
      <c r="BH82" s="576">
        <f t="shared" si="74"/>
        <v>453.83297841726642</v>
      </c>
      <c r="BI82" s="576">
        <f t="shared" si="74"/>
        <v>453.83297841726642</v>
      </c>
      <c r="BJ82" s="576">
        <f t="shared" si="74"/>
        <v>453.83297841726642</v>
      </c>
      <c r="BK82" s="576">
        <f t="shared" si="74"/>
        <v>453.83297841726642</v>
      </c>
      <c r="BL82" s="576">
        <f t="shared" si="74"/>
        <v>453.83297841726642</v>
      </c>
      <c r="BM82" s="576">
        <f t="shared" si="74"/>
        <v>328.97519424460427</v>
      </c>
      <c r="BN82" s="576">
        <f t="shared" si="74"/>
        <v>328.97519424460427</v>
      </c>
      <c r="BO82" s="576">
        <f t="shared" si="74"/>
        <v>328.97519424460427</v>
      </c>
      <c r="BP82" s="576">
        <f t="shared" si="74"/>
        <v>328.97519424460427</v>
      </c>
      <c r="BQ82" s="576">
        <f t="shared" ref="BP82:CM92" si="75">SUMIF($C$4:$C$70,$J82,BQ$4:BQ$70)</f>
        <v>328.97519424460427</v>
      </c>
      <c r="BR82" s="576">
        <f t="shared" si="75"/>
        <v>328.97519424460427</v>
      </c>
      <c r="BS82" s="576">
        <f t="shared" si="75"/>
        <v>328.97519424460427</v>
      </c>
      <c r="BT82" s="576">
        <f t="shared" si="75"/>
        <v>328.97519424460427</v>
      </c>
      <c r="BU82" s="576">
        <f t="shared" si="75"/>
        <v>328.97519424460427</v>
      </c>
      <c r="BV82" s="576">
        <f t="shared" si="75"/>
        <v>328.97519424460427</v>
      </c>
      <c r="BW82" s="576">
        <f t="shared" si="75"/>
        <v>328.97519424460427</v>
      </c>
      <c r="BX82" s="576">
        <f t="shared" si="75"/>
        <v>328.97519424460427</v>
      </c>
      <c r="BY82" s="576">
        <f t="shared" si="75"/>
        <v>328.97519424460427</v>
      </c>
      <c r="BZ82" s="576">
        <f t="shared" si="75"/>
        <v>328.97519424460427</v>
      </c>
      <c r="CA82" s="576">
        <f t="shared" si="75"/>
        <v>328.97519424460427</v>
      </c>
      <c r="CB82" s="576">
        <f t="shared" si="75"/>
        <v>328.97519424460427</v>
      </c>
      <c r="CC82" s="576">
        <f t="shared" si="75"/>
        <v>328.97519424460427</v>
      </c>
      <c r="CD82" s="576">
        <f t="shared" si="75"/>
        <v>328.97519424460427</v>
      </c>
      <c r="CE82" s="576">
        <f t="shared" si="75"/>
        <v>135.59800000000013</v>
      </c>
      <c r="CF82" s="576">
        <f t="shared" si="75"/>
        <v>232.28800000000012</v>
      </c>
      <c r="CG82" s="576">
        <f t="shared" si="75"/>
        <v>232.28800000000012</v>
      </c>
      <c r="CH82" s="576">
        <f t="shared" si="75"/>
        <v>232.28800000000012</v>
      </c>
      <c r="CI82" s="576">
        <f t="shared" si="75"/>
        <v>232.28800000000012</v>
      </c>
      <c r="CJ82" s="576">
        <f t="shared" si="75"/>
        <v>232.28800000000012</v>
      </c>
      <c r="CK82" s="576">
        <f t="shared" si="75"/>
        <v>232.29</v>
      </c>
      <c r="CL82" s="576">
        <f t="shared" si="75"/>
        <v>232.29</v>
      </c>
      <c r="CM82" s="576">
        <f t="shared" si="75"/>
        <v>232.29</v>
      </c>
      <c r="CN82" s="576">
        <f t="shared" ref="CN82:CP84" si="76">SUMIF($C$4:$C$70,$J82,CN$4:CN$70)</f>
        <v>232.29</v>
      </c>
      <c r="CO82" s="576">
        <f t="shared" si="76"/>
        <v>232.29</v>
      </c>
      <c r="CP82" s="576">
        <f t="shared" si="76"/>
        <v>232.29</v>
      </c>
      <c r="CQ82" s="295" t="s">
        <v>164</v>
      </c>
    </row>
    <row r="83" spans="9:95" x14ac:dyDescent="0.25">
      <c r="I83" s="295" t="s">
        <v>171</v>
      </c>
      <c r="J83" s="403">
        <v>10571</v>
      </c>
      <c r="K83" s="404" t="s">
        <v>292</v>
      </c>
      <c r="L83" s="405">
        <f t="shared" si="73"/>
        <v>247.32823021582715</v>
      </c>
      <c r="M83" s="405">
        <f t="shared" si="73"/>
        <v>247.32823021582715</v>
      </c>
      <c r="N83" s="405">
        <f t="shared" si="73"/>
        <v>247.32823021582715</v>
      </c>
      <c r="O83" s="406">
        <f t="shared" si="73"/>
        <v>232.85017962404248</v>
      </c>
      <c r="P83" s="405">
        <f t="shared" si="73"/>
        <v>135.12333812949615</v>
      </c>
      <c r="Q83" s="405">
        <f t="shared" si="73"/>
        <v>135.12333812949615</v>
      </c>
      <c r="R83" s="405">
        <f t="shared" si="73"/>
        <v>135.12333812949615</v>
      </c>
      <c r="S83" s="405">
        <f t="shared" si="73"/>
        <v>135.12333812949615</v>
      </c>
      <c r="T83" s="575">
        <f t="shared" si="73"/>
        <v>135.12333812949615</v>
      </c>
      <c r="U83" s="575">
        <f t="shared" si="73"/>
        <v>135.12333812949615</v>
      </c>
      <c r="V83" s="461">
        <f t="shared" si="73"/>
        <v>135.12333812949615</v>
      </c>
      <c r="W83" s="461">
        <f t="shared" si="73"/>
        <v>135.12333812949615</v>
      </c>
      <c r="X83" s="461">
        <f t="shared" si="73"/>
        <v>135.12333812949615</v>
      </c>
      <c r="Y83" s="461">
        <f t="shared" si="73"/>
        <v>135.12333812949615</v>
      </c>
      <c r="Z83" s="461">
        <f t="shared" si="73"/>
        <v>135.12333812949615</v>
      </c>
      <c r="AA83" s="461">
        <f t="shared" si="73"/>
        <v>135.12333812949615</v>
      </c>
      <c r="AB83" s="461">
        <f t="shared" si="73"/>
        <v>135.12333812949615</v>
      </c>
      <c r="AC83" s="461">
        <f t="shared" si="73"/>
        <v>135.12333812949615</v>
      </c>
      <c r="AD83" s="461">
        <f t="shared" si="73"/>
        <v>135.12333812949615</v>
      </c>
      <c r="AE83" s="461">
        <f t="shared" si="73"/>
        <v>135.12333812949615</v>
      </c>
      <c r="AF83" s="461">
        <f t="shared" si="73"/>
        <v>135.12333812949615</v>
      </c>
      <c r="AG83" s="461">
        <f t="shared" si="73"/>
        <v>135.12333812949615</v>
      </c>
      <c r="AH83" s="576">
        <f t="shared" ref="AH83:BG92" si="77">SUMIF($C$4:$C$70,$J83,AH$4:AH$70)</f>
        <v>135.12333812949615</v>
      </c>
      <c r="AI83" s="576">
        <f t="shared" si="77"/>
        <v>135.12333812949615</v>
      </c>
      <c r="AJ83" s="576">
        <f t="shared" si="77"/>
        <v>135.12333812949615</v>
      </c>
      <c r="AK83" s="576">
        <f t="shared" si="77"/>
        <v>135.12333812949615</v>
      </c>
      <c r="AL83" s="576">
        <f t="shared" si="77"/>
        <v>135.12333812949615</v>
      </c>
      <c r="AM83" s="576">
        <f t="shared" si="77"/>
        <v>135.12333812949615</v>
      </c>
      <c r="AN83" s="576">
        <f t="shared" si="77"/>
        <v>135.12333812949615</v>
      </c>
      <c r="AO83" s="576">
        <f t="shared" si="77"/>
        <v>135.12333812949615</v>
      </c>
      <c r="AP83" s="576">
        <f t="shared" si="77"/>
        <v>135.12333812949615</v>
      </c>
      <c r="AQ83" s="576">
        <f t="shared" si="77"/>
        <v>135.12333812949615</v>
      </c>
      <c r="AR83" s="576">
        <f t="shared" si="77"/>
        <v>135.12333812949615</v>
      </c>
      <c r="AS83" s="576">
        <f t="shared" si="77"/>
        <v>135.12333812949615</v>
      </c>
      <c r="AT83" s="576">
        <f t="shared" si="77"/>
        <v>135.12333812949615</v>
      </c>
      <c r="AU83" s="576">
        <f t="shared" si="77"/>
        <v>135.12333812949615</v>
      </c>
      <c r="AV83" s="576">
        <f t="shared" si="77"/>
        <v>135.12333812949615</v>
      </c>
      <c r="AW83" s="576">
        <f t="shared" si="77"/>
        <v>135.12333812949615</v>
      </c>
      <c r="AX83" s="576">
        <f t="shared" si="77"/>
        <v>135.12333812949615</v>
      </c>
      <c r="AY83" s="576">
        <f t="shared" si="77"/>
        <v>135.12333812949615</v>
      </c>
      <c r="AZ83" s="576">
        <f t="shared" si="77"/>
        <v>135.12333812949615</v>
      </c>
      <c r="BA83" s="576">
        <f t="shared" si="77"/>
        <v>135.12333812949615</v>
      </c>
      <c r="BB83" s="576">
        <f t="shared" si="77"/>
        <v>135.12333812949615</v>
      </c>
      <c r="BC83" s="576">
        <f t="shared" si="77"/>
        <v>135.12333812949615</v>
      </c>
      <c r="BD83" s="576">
        <f t="shared" si="77"/>
        <v>135.12333812949615</v>
      </c>
      <c r="BE83" s="576">
        <f t="shared" si="77"/>
        <v>135.12333812949615</v>
      </c>
      <c r="BF83" s="576">
        <f t="shared" si="77"/>
        <v>135.12333812949615</v>
      </c>
      <c r="BG83" s="576">
        <f t="shared" si="77"/>
        <v>135.12333812949615</v>
      </c>
      <c r="BH83" s="576">
        <f t="shared" ref="BH83:BO92" si="78">SUMIF($C$4:$C$70,$J83,BH$4:BH$70)</f>
        <v>135.12333812949615</v>
      </c>
      <c r="BI83" s="576">
        <f t="shared" si="78"/>
        <v>135.12333812949615</v>
      </c>
      <c r="BJ83" s="576">
        <f t="shared" si="78"/>
        <v>135.12333812949615</v>
      </c>
      <c r="BK83" s="576">
        <f t="shared" si="78"/>
        <v>135.12333812949615</v>
      </c>
      <c r="BL83" s="576">
        <f t="shared" si="78"/>
        <v>135.12333812949615</v>
      </c>
      <c r="BM83" s="576">
        <f t="shared" si="78"/>
        <v>135.12333812949615</v>
      </c>
      <c r="BN83" s="576">
        <f t="shared" si="78"/>
        <v>135.12333812949615</v>
      </c>
      <c r="BO83" s="576">
        <f t="shared" si="78"/>
        <v>135.12333812949615</v>
      </c>
      <c r="BP83" s="576">
        <f t="shared" si="75"/>
        <v>135.12333812949615</v>
      </c>
      <c r="BQ83" s="576">
        <f t="shared" si="75"/>
        <v>135.12333812949615</v>
      </c>
      <c r="BR83" s="576">
        <f t="shared" si="75"/>
        <v>135.12333812949615</v>
      </c>
      <c r="BS83" s="576">
        <f t="shared" si="75"/>
        <v>135.12333812949615</v>
      </c>
      <c r="BT83" s="576">
        <f t="shared" si="75"/>
        <v>135.12333812949615</v>
      </c>
      <c r="BU83" s="576">
        <f t="shared" si="75"/>
        <v>135.12333812949615</v>
      </c>
      <c r="BV83" s="576">
        <f t="shared" si="75"/>
        <v>135.12333812949615</v>
      </c>
      <c r="BW83" s="576">
        <f t="shared" si="75"/>
        <v>135.12333812949615</v>
      </c>
      <c r="BX83" s="576">
        <f t="shared" si="75"/>
        <v>135.12333812949615</v>
      </c>
      <c r="BY83" s="576">
        <f t="shared" si="75"/>
        <v>135.12333812949615</v>
      </c>
      <c r="BZ83" s="576">
        <f t="shared" si="75"/>
        <v>135.12333812949615</v>
      </c>
      <c r="CA83" s="576">
        <f t="shared" si="75"/>
        <v>135.12333812949615</v>
      </c>
      <c r="CB83" s="576">
        <f t="shared" si="75"/>
        <v>135.12333812949615</v>
      </c>
      <c r="CC83" s="576">
        <f t="shared" si="75"/>
        <v>135.12333812949615</v>
      </c>
      <c r="CD83" s="576">
        <f t="shared" si="75"/>
        <v>135.12333812949615</v>
      </c>
      <c r="CE83" s="576">
        <f t="shared" si="75"/>
        <v>135.12333812949615</v>
      </c>
      <c r="CF83" s="576">
        <f t="shared" si="75"/>
        <v>135.12333812949615</v>
      </c>
      <c r="CG83" s="576">
        <f t="shared" si="75"/>
        <v>135.12333812949615</v>
      </c>
      <c r="CH83" s="576">
        <f t="shared" si="75"/>
        <v>135.12333812949615</v>
      </c>
      <c r="CI83" s="576">
        <f t="shared" si="75"/>
        <v>135.12333812949615</v>
      </c>
      <c r="CJ83" s="576">
        <f t="shared" si="75"/>
        <v>135.12333812949615</v>
      </c>
      <c r="CK83" s="576">
        <f t="shared" si="75"/>
        <v>135.12</v>
      </c>
      <c r="CL83" s="576">
        <f t="shared" si="75"/>
        <v>135.12</v>
      </c>
      <c r="CM83" s="576">
        <f t="shared" si="75"/>
        <v>135.12</v>
      </c>
      <c r="CN83" s="576">
        <f t="shared" si="76"/>
        <v>135.12</v>
      </c>
      <c r="CO83" s="576">
        <f t="shared" si="76"/>
        <v>135.12</v>
      </c>
      <c r="CP83" s="576">
        <f t="shared" si="76"/>
        <v>135.12</v>
      </c>
      <c r="CQ83" s="295" t="s">
        <v>171</v>
      </c>
    </row>
    <row r="84" spans="9:95" x14ac:dyDescent="0.25">
      <c r="I84" s="295" t="s">
        <v>165</v>
      </c>
      <c r="J84" s="403">
        <v>10564</v>
      </c>
      <c r="K84" s="404" t="s">
        <v>321</v>
      </c>
      <c r="L84" s="405">
        <f t="shared" si="73"/>
        <v>152.67027338129506</v>
      </c>
      <c r="M84" s="405">
        <f t="shared" si="73"/>
        <v>152.67027338129506</v>
      </c>
      <c r="N84" s="405">
        <f t="shared" si="73"/>
        <v>152.67027338129506</v>
      </c>
      <c r="O84" s="406">
        <f t="shared" si="73"/>
        <v>152.67027338129506</v>
      </c>
      <c r="P84" s="405">
        <f t="shared" si="73"/>
        <v>152.67027338129506</v>
      </c>
      <c r="Q84" s="405">
        <f t="shared" si="73"/>
        <v>152.67027338129506</v>
      </c>
      <c r="R84" s="405">
        <f t="shared" si="73"/>
        <v>152.67027338129506</v>
      </c>
      <c r="S84" s="405">
        <f t="shared" si="73"/>
        <v>152.67027338129506</v>
      </c>
      <c r="T84" s="575">
        <f t="shared" si="73"/>
        <v>152.67027338129506</v>
      </c>
      <c r="U84" s="575">
        <f t="shared" si="73"/>
        <v>152.67027338129506</v>
      </c>
      <c r="V84" s="461">
        <f t="shared" si="73"/>
        <v>152.67027338129506</v>
      </c>
      <c r="W84" s="461">
        <f t="shared" si="73"/>
        <v>152.67027338129506</v>
      </c>
      <c r="X84" s="461">
        <f t="shared" si="73"/>
        <v>152.67027338129506</v>
      </c>
      <c r="Y84" s="461">
        <f t="shared" si="73"/>
        <v>152.67027338129506</v>
      </c>
      <c r="Z84" s="461">
        <f t="shared" si="73"/>
        <v>152.67027338129506</v>
      </c>
      <c r="AA84" s="461">
        <f t="shared" si="73"/>
        <v>152.67027338129506</v>
      </c>
      <c r="AB84" s="461">
        <f t="shared" si="73"/>
        <v>152.67027338129506</v>
      </c>
      <c r="AC84" s="461">
        <f t="shared" si="73"/>
        <v>152.67027338129506</v>
      </c>
      <c r="AD84" s="461">
        <f t="shared" si="73"/>
        <v>152.67027338129506</v>
      </c>
      <c r="AE84" s="461">
        <f t="shared" si="73"/>
        <v>152.67027338129506</v>
      </c>
      <c r="AF84" s="461">
        <f t="shared" si="73"/>
        <v>152.67027338129506</v>
      </c>
      <c r="AG84" s="461">
        <f t="shared" si="73"/>
        <v>152.67027338129506</v>
      </c>
      <c r="AH84" s="576">
        <f t="shared" si="77"/>
        <v>152.67027338129506</v>
      </c>
      <c r="AI84" s="576">
        <f t="shared" si="77"/>
        <v>152.67027338129506</v>
      </c>
      <c r="AJ84" s="576">
        <f t="shared" si="77"/>
        <v>152.67027338129506</v>
      </c>
      <c r="AK84" s="576">
        <f t="shared" si="77"/>
        <v>152.67027338129506</v>
      </c>
      <c r="AL84" s="576">
        <f t="shared" si="77"/>
        <v>152.67027338129506</v>
      </c>
      <c r="AM84" s="576">
        <f t="shared" si="77"/>
        <v>152.67027338129506</v>
      </c>
      <c r="AN84" s="576">
        <f t="shared" si="77"/>
        <v>152.67027338129506</v>
      </c>
      <c r="AO84" s="576">
        <f t="shared" si="77"/>
        <v>152.67027338129506</v>
      </c>
      <c r="AP84" s="576">
        <f t="shared" si="77"/>
        <v>152.67027338129506</v>
      </c>
      <c r="AQ84" s="576">
        <f t="shared" si="77"/>
        <v>152.67027338129506</v>
      </c>
      <c r="AR84" s="576">
        <f t="shared" si="77"/>
        <v>152.67027338129506</v>
      </c>
      <c r="AS84" s="576">
        <f t="shared" si="77"/>
        <v>152.67027338129506</v>
      </c>
      <c r="AT84" s="576">
        <f t="shared" si="77"/>
        <v>152.67027338129506</v>
      </c>
      <c r="AU84" s="576">
        <f t="shared" si="77"/>
        <v>152.67027338129506</v>
      </c>
      <c r="AV84" s="576">
        <f t="shared" si="77"/>
        <v>152.67027338129506</v>
      </c>
      <c r="AW84" s="576">
        <f t="shared" si="77"/>
        <v>152.67027338129506</v>
      </c>
      <c r="AX84" s="576">
        <f t="shared" si="77"/>
        <v>152.67027338129506</v>
      </c>
      <c r="AY84" s="576">
        <f t="shared" si="77"/>
        <v>152.67027338129506</v>
      </c>
      <c r="AZ84" s="576">
        <f t="shared" si="77"/>
        <v>152.67027338129506</v>
      </c>
      <c r="BA84" s="576">
        <f t="shared" si="77"/>
        <v>152.67027338129506</v>
      </c>
      <c r="BB84" s="576">
        <f t="shared" si="77"/>
        <v>152.67027338129506</v>
      </c>
      <c r="BC84" s="576">
        <f t="shared" si="77"/>
        <v>152.67027338129506</v>
      </c>
      <c r="BD84" s="576">
        <f t="shared" si="77"/>
        <v>152.67027338129506</v>
      </c>
      <c r="BE84" s="576">
        <f t="shared" si="77"/>
        <v>152.67027338129506</v>
      </c>
      <c r="BF84" s="576">
        <f t="shared" si="77"/>
        <v>152.67027338129506</v>
      </c>
      <c r="BG84" s="576">
        <f t="shared" si="77"/>
        <v>152.67027338129506</v>
      </c>
      <c r="BH84" s="576">
        <f t="shared" si="78"/>
        <v>152.67027338129506</v>
      </c>
      <c r="BI84" s="576">
        <f t="shared" si="78"/>
        <v>152.67027338129506</v>
      </c>
      <c r="BJ84" s="576">
        <f t="shared" si="78"/>
        <v>152.67027338129506</v>
      </c>
      <c r="BK84" s="576">
        <f t="shared" si="78"/>
        <v>152.67027338129506</v>
      </c>
      <c r="BL84" s="576">
        <f t="shared" si="78"/>
        <v>152.67027338129506</v>
      </c>
      <c r="BM84" s="576">
        <f t="shared" si="78"/>
        <v>152.67027338129506</v>
      </c>
      <c r="BN84" s="576">
        <f t="shared" si="78"/>
        <v>152.67027338129506</v>
      </c>
      <c r="BO84" s="576">
        <f t="shared" si="78"/>
        <v>152.67027338129506</v>
      </c>
      <c r="BP84" s="576">
        <f t="shared" si="75"/>
        <v>152.67027338129506</v>
      </c>
      <c r="BQ84" s="576">
        <f t="shared" si="75"/>
        <v>152.67027338129506</v>
      </c>
      <c r="BR84" s="576">
        <f t="shared" si="75"/>
        <v>152.67027338129506</v>
      </c>
      <c r="BS84" s="576">
        <f t="shared" si="75"/>
        <v>152.67027338129506</v>
      </c>
      <c r="BT84" s="576">
        <f t="shared" si="75"/>
        <v>152.67027338129506</v>
      </c>
      <c r="BU84" s="576">
        <f t="shared" si="75"/>
        <v>152.67027338129506</v>
      </c>
      <c r="BV84" s="576">
        <f t="shared" si="75"/>
        <v>152.67027338129506</v>
      </c>
      <c r="BW84" s="576">
        <f t="shared" si="75"/>
        <v>152.67027338129506</v>
      </c>
      <c r="BX84" s="576">
        <f t="shared" si="75"/>
        <v>152.67027338129506</v>
      </c>
      <c r="BY84" s="576">
        <f t="shared" si="75"/>
        <v>152.67027338129506</v>
      </c>
      <c r="BZ84" s="576">
        <f t="shared" si="75"/>
        <v>152.67027338129506</v>
      </c>
      <c r="CA84" s="576">
        <f t="shared" si="75"/>
        <v>152.67027338129506</v>
      </c>
      <c r="CB84" s="576">
        <f t="shared" si="75"/>
        <v>152.67027338129506</v>
      </c>
      <c r="CC84" s="576">
        <f t="shared" si="75"/>
        <v>152.67027338129506</v>
      </c>
      <c r="CD84" s="576">
        <f t="shared" si="75"/>
        <v>152.67027338129506</v>
      </c>
      <c r="CE84" s="576">
        <f t="shared" si="75"/>
        <v>152.67027338129506</v>
      </c>
      <c r="CF84" s="576">
        <f t="shared" si="75"/>
        <v>152.67027338129506</v>
      </c>
      <c r="CG84" s="576">
        <f t="shared" si="75"/>
        <v>152.67027338129506</v>
      </c>
      <c r="CH84" s="576">
        <f t="shared" si="75"/>
        <v>152.67027338129506</v>
      </c>
      <c r="CI84" s="576">
        <f t="shared" si="75"/>
        <v>152.67027338129506</v>
      </c>
      <c r="CJ84" s="576">
        <f t="shared" si="75"/>
        <v>152.67027338129506</v>
      </c>
      <c r="CK84" s="576">
        <f t="shared" si="75"/>
        <v>0</v>
      </c>
      <c r="CL84" s="576">
        <f t="shared" si="75"/>
        <v>0</v>
      </c>
      <c r="CM84" s="576">
        <f t="shared" si="75"/>
        <v>0</v>
      </c>
      <c r="CN84" s="576">
        <f t="shared" si="76"/>
        <v>0</v>
      </c>
      <c r="CO84" s="576">
        <f t="shared" si="76"/>
        <v>0</v>
      </c>
      <c r="CP84" s="576">
        <f t="shared" si="76"/>
        <v>0</v>
      </c>
      <c r="CQ84" s="295" t="s">
        <v>165</v>
      </c>
    </row>
    <row r="85" spans="9:95" x14ac:dyDescent="0.25">
      <c r="I85" s="295" t="s">
        <v>172</v>
      </c>
      <c r="J85" s="403">
        <v>10572</v>
      </c>
      <c r="K85" s="404" t="s">
        <v>296</v>
      </c>
      <c r="L85" s="405">
        <f t="shared" si="73"/>
        <v>1453.0186976096545</v>
      </c>
      <c r="M85" s="405">
        <f t="shared" si="73"/>
        <v>1381.5764489208636</v>
      </c>
      <c r="N85" s="405">
        <f t="shared" si="73"/>
        <v>1164.5242868414948</v>
      </c>
      <c r="O85" s="406">
        <f t="shared" si="73"/>
        <v>1003.1691083778144</v>
      </c>
      <c r="P85" s="405">
        <f t="shared" si="73"/>
        <v>915.36512230215862</v>
      </c>
      <c r="Q85" s="405">
        <f t="shared" si="73"/>
        <v>915.36512230215862</v>
      </c>
      <c r="R85" s="405">
        <f t="shared" si="73"/>
        <v>915.36512230215862</v>
      </c>
      <c r="S85" s="405">
        <f t="shared" si="73"/>
        <v>851.19963425388755</v>
      </c>
      <c r="T85" s="575">
        <f t="shared" si="73"/>
        <v>791.04448920863342</v>
      </c>
      <c r="U85" s="575">
        <f t="shared" si="73"/>
        <v>791.04448920863342</v>
      </c>
      <c r="V85" s="461">
        <f t="shared" si="73"/>
        <v>791.04448920863342</v>
      </c>
      <c r="W85" s="461">
        <f t="shared" si="73"/>
        <v>791.04448920863342</v>
      </c>
      <c r="X85" s="461">
        <f t="shared" si="73"/>
        <v>791.04448920863342</v>
      </c>
      <c r="Y85" s="461">
        <f t="shared" si="73"/>
        <v>791.04448920863342</v>
      </c>
      <c r="Z85" s="461">
        <f t="shared" si="73"/>
        <v>791.04448920863342</v>
      </c>
      <c r="AA85" s="461">
        <f t="shared" si="73"/>
        <v>791.04448920863342</v>
      </c>
      <c r="AB85" s="461">
        <f t="shared" si="73"/>
        <v>791.04448920863342</v>
      </c>
      <c r="AC85" s="461">
        <f t="shared" si="73"/>
        <v>755.48855326061766</v>
      </c>
      <c r="AD85" s="461">
        <f t="shared" si="73"/>
        <v>668.57404316546786</v>
      </c>
      <c r="AE85" s="461">
        <f t="shared" si="73"/>
        <v>668.57404316546786</v>
      </c>
      <c r="AF85" s="461">
        <f t="shared" si="73"/>
        <v>668.57404316546786</v>
      </c>
      <c r="AG85" s="461">
        <f t="shared" si="73"/>
        <v>668.57404316546786</v>
      </c>
      <c r="AH85" s="576">
        <f t="shared" si="77"/>
        <v>668.57404316546786</v>
      </c>
      <c r="AI85" s="576">
        <f t="shared" si="77"/>
        <v>668.57404316546786</v>
      </c>
      <c r="AJ85" s="576">
        <f t="shared" si="77"/>
        <v>668.57404316546786</v>
      </c>
      <c r="AK85" s="576">
        <f t="shared" si="77"/>
        <v>668.57404316546786</v>
      </c>
      <c r="AL85" s="576">
        <f t="shared" si="77"/>
        <v>668.57404316546786</v>
      </c>
      <c r="AM85" s="576">
        <f t="shared" si="77"/>
        <v>668.57404316546786</v>
      </c>
      <c r="AN85" s="576">
        <f t="shared" si="77"/>
        <v>668.57404316546786</v>
      </c>
      <c r="AO85" s="576">
        <f t="shared" si="77"/>
        <v>668.57404316546786</v>
      </c>
      <c r="AP85" s="576">
        <f t="shared" si="77"/>
        <v>668.57404316546786</v>
      </c>
      <c r="AQ85" s="576">
        <f t="shared" si="77"/>
        <v>668.57404316546786</v>
      </c>
      <c r="AR85" s="576">
        <f t="shared" si="77"/>
        <v>668.57404316546786</v>
      </c>
      <c r="AS85" s="576">
        <f t="shared" si="77"/>
        <v>668.57404316546786</v>
      </c>
      <c r="AT85" s="576">
        <f t="shared" si="77"/>
        <v>668.57404316546786</v>
      </c>
      <c r="AU85" s="576">
        <f t="shared" si="77"/>
        <v>668.57404316546786</v>
      </c>
      <c r="AV85" s="576">
        <f t="shared" si="77"/>
        <v>668.57404316546786</v>
      </c>
      <c r="AW85" s="576">
        <f t="shared" si="77"/>
        <v>668.57404316546786</v>
      </c>
      <c r="AX85" s="576">
        <f t="shared" si="77"/>
        <v>668.57404316546786</v>
      </c>
      <c r="AY85" s="576">
        <f t="shared" si="77"/>
        <v>668.57404316546786</v>
      </c>
      <c r="AZ85" s="576">
        <f t="shared" si="77"/>
        <v>668.57404316546786</v>
      </c>
      <c r="BA85" s="576">
        <f t="shared" si="77"/>
        <v>668.57404316546786</v>
      </c>
      <c r="BB85" s="576">
        <f t="shared" si="77"/>
        <v>668.57404316546786</v>
      </c>
      <c r="BC85" s="576">
        <f t="shared" si="77"/>
        <v>668.57404316546786</v>
      </c>
      <c r="BD85" s="576">
        <f t="shared" si="77"/>
        <v>668.57404316546786</v>
      </c>
      <c r="BE85" s="576">
        <f t="shared" si="77"/>
        <v>668.57404316546786</v>
      </c>
      <c r="BF85" s="576">
        <f t="shared" si="77"/>
        <v>668.57404316546786</v>
      </c>
      <c r="BG85" s="576">
        <f t="shared" si="77"/>
        <v>668.57404316546786</v>
      </c>
      <c r="BH85" s="576">
        <f t="shared" si="78"/>
        <v>668.57404316546786</v>
      </c>
      <c r="BI85" s="576">
        <f t="shared" si="78"/>
        <v>668.57404316546786</v>
      </c>
      <c r="BJ85" s="576">
        <f t="shared" si="78"/>
        <v>668.57404316546786</v>
      </c>
      <c r="BK85" s="576">
        <f t="shared" si="78"/>
        <v>668.57404316546786</v>
      </c>
      <c r="BL85" s="576">
        <f t="shared" si="78"/>
        <v>668.57404316546786</v>
      </c>
      <c r="BM85" s="576">
        <f t="shared" si="78"/>
        <v>668.57404316546786</v>
      </c>
      <c r="BN85" s="576">
        <f t="shared" si="78"/>
        <v>668.57404316546786</v>
      </c>
      <c r="BO85" s="576">
        <f t="shared" si="78"/>
        <v>668.57404316546786</v>
      </c>
      <c r="BP85" s="576">
        <f t="shared" si="75"/>
        <v>668.57404316546786</v>
      </c>
      <c r="BQ85" s="576">
        <f t="shared" si="75"/>
        <v>668.57404316546786</v>
      </c>
      <c r="BR85" s="576">
        <f t="shared" si="75"/>
        <v>668.57404316546786</v>
      </c>
      <c r="BS85" s="576">
        <f t="shared" si="75"/>
        <v>668.57404316546786</v>
      </c>
      <c r="BT85" s="576">
        <f t="shared" si="75"/>
        <v>668.57404316546786</v>
      </c>
      <c r="BU85" s="576">
        <f t="shared" si="75"/>
        <v>668.57404316546786</v>
      </c>
      <c r="BV85" s="576">
        <f t="shared" si="75"/>
        <v>668.57404316546786</v>
      </c>
      <c r="BW85" s="576">
        <f t="shared" si="75"/>
        <v>668.57404316546786</v>
      </c>
      <c r="BX85" s="576">
        <f t="shared" si="75"/>
        <v>668.57404316546786</v>
      </c>
      <c r="BY85" s="576">
        <f t="shared" si="75"/>
        <v>668.57404316546786</v>
      </c>
      <c r="BZ85" s="576">
        <f t="shared" si="75"/>
        <v>668.57404316546786</v>
      </c>
      <c r="CA85" s="576">
        <f t="shared" si="75"/>
        <v>668.57404316546786</v>
      </c>
      <c r="CB85" s="576">
        <f t="shared" si="75"/>
        <v>668.57404316546786</v>
      </c>
      <c r="CC85" s="576">
        <f t="shared" si="75"/>
        <v>668.57404316546786</v>
      </c>
      <c r="CD85" s="576">
        <f t="shared" si="75"/>
        <v>668.57404316546786</v>
      </c>
      <c r="CE85" s="576">
        <f t="shared" si="75"/>
        <v>668.57404316546786</v>
      </c>
      <c r="CF85" s="576">
        <f t="shared" si="75"/>
        <v>668.57404316546786</v>
      </c>
      <c r="CG85" s="576">
        <f t="shared" si="75"/>
        <v>668.57404316546786</v>
      </c>
      <c r="CH85" s="576">
        <f t="shared" si="75"/>
        <v>668.57404316546786</v>
      </c>
      <c r="CI85" s="576">
        <f t="shared" si="75"/>
        <v>668.57404316546786</v>
      </c>
      <c r="CJ85" s="576">
        <f t="shared" si="75"/>
        <v>668.57404316546786</v>
      </c>
      <c r="CK85" s="576">
        <f t="shared" si="75"/>
        <v>112.2</v>
      </c>
      <c r="CL85" s="576">
        <f t="shared" si="75"/>
        <v>112.2</v>
      </c>
      <c r="CM85" s="576">
        <f t="shared" ref="CM85:CP92" si="79">SUMIF($C$4:$C$70,$J85,CM$4:CM$70)</f>
        <v>112.2</v>
      </c>
      <c r="CN85" s="576">
        <f t="shared" si="79"/>
        <v>112.2</v>
      </c>
      <c r="CO85" s="576">
        <f t="shared" si="79"/>
        <v>112.2</v>
      </c>
      <c r="CP85" s="576">
        <f t="shared" si="79"/>
        <v>112.2</v>
      </c>
      <c r="CQ85" s="295" t="s">
        <v>172</v>
      </c>
    </row>
    <row r="86" spans="9:95" x14ac:dyDescent="0.25">
      <c r="I86" s="295" t="s">
        <v>126</v>
      </c>
      <c r="J86" s="403">
        <v>10573</v>
      </c>
      <c r="K86" s="407" t="s">
        <v>325</v>
      </c>
      <c r="L86" s="405">
        <f t="shared" si="73"/>
        <v>1155.319558134137</v>
      </c>
      <c r="M86" s="405">
        <f t="shared" si="73"/>
        <v>1016.1107913669059</v>
      </c>
      <c r="N86" s="405">
        <f t="shared" si="73"/>
        <v>911.17380366674342</v>
      </c>
      <c r="O86" s="406">
        <f t="shared" si="73"/>
        <v>756.39728196797364</v>
      </c>
      <c r="P86" s="405">
        <f t="shared" si="73"/>
        <v>753.14549640287737</v>
      </c>
      <c r="Q86" s="405">
        <f t="shared" si="73"/>
        <v>753.14549640287737</v>
      </c>
      <c r="R86" s="405">
        <f t="shared" si="73"/>
        <v>661.39412374100698</v>
      </c>
      <c r="S86" s="405">
        <f t="shared" si="73"/>
        <v>532.89045068461337</v>
      </c>
      <c r="T86" s="575">
        <f t="shared" si="73"/>
        <v>495.16973812949624</v>
      </c>
      <c r="U86" s="575">
        <f t="shared" si="73"/>
        <v>464.60295381759096</v>
      </c>
      <c r="V86" s="461">
        <f t="shared" si="73"/>
        <v>454.84759712230203</v>
      </c>
      <c r="W86" s="461">
        <f t="shared" si="73"/>
        <v>380.92367194244594</v>
      </c>
      <c r="X86" s="461">
        <f t="shared" si="73"/>
        <v>354.04224460431647</v>
      </c>
      <c r="Y86" s="461">
        <f t="shared" si="73"/>
        <v>354.04224460431647</v>
      </c>
      <c r="Z86" s="461">
        <f t="shared" si="73"/>
        <v>354.04224460431647</v>
      </c>
      <c r="AA86" s="461">
        <f t="shared" si="73"/>
        <v>354.04224460431647</v>
      </c>
      <c r="AB86" s="461">
        <f t="shared" si="73"/>
        <v>354.04224460431647</v>
      </c>
      <c r="AC86" s="461">
        <f t="shared" si="73"/>
        <v>291.81743142260387</v>
      </c>
      <c r="AD86" s="461">
        <f t="shared" si="73"/>
        <v>233.48166906474836</v>
      </c>
      <c r="AE86" s="461">
        <f t="shared" si="73"/>
        <v>233.48166906474836</v>
      </c>
      <c r="AF86" s="461">
        <f t="shared" si="73"/>
        <v>233.48166906474836</v>
      </c>
      <c r="AG86" s="461">
        <f t="shared" si="73"/>
        <v>233.48166906474836</v>
      </c>
      <c r="AH86" s="576">
        <f t="shared" si="77"/>
        <v>233.48166906474836</v>
      </c>
      <c r="AI86" s="576">
        <f t="shared" si="77"/>
        <v>132.67631654676279</v>
      </c>
      <c r="AJ86" s="576">
        <f t="shared" si="77"/>
        <v>132.67631654676279</v>
      </c>
      <c r="AK86" s="576">
        <f t="shared" si="77"/>
        <v>132.67631654676279</v>
      </c>
      <c r="AL86" s="576">
        <f t="shared" si="77"/>
        <v>132.67631654676279</v>
      </c>
      <c r="AM86" s="576">
        <f t="shared" si="77"/>
        <v>132.67631654676279</v>
      </c>
      <c r="AN86" s="576">
        <f t="shared" si="77"/>
        <v>132.67631654676279</v>
      </c>
      <c r="AO86" s="576">
        <f t="shared" si="77"/>
        <v>132.67631654676279</v>
      </c>
      <c r="AP86" s="576">
        <f t="shared" si="77"/>
        <v>132.67631654676279</v>
      </c>
      <c r="AQ86" s="576">
        <f t="shared" si="77"/>
        <v>132.67631654676279</v>
      </c>
      <c r="AR86" s="576">
        <f t="shared" si="77"/>
        <v>132.67631654676279</v>
      </c>
      <c r="AS86" s="576">
        <f t="shared" si="77"/>
        <v>132.67631654676279</v>
      </c>
      <c r="AT86" s="576">
        <f t="shared" si="77"/>
        <v>132.67631654676279</v>
      </c>
      <c r="AU86" s="576">
        <f t="shared" si="77"/>
        <v>132.67631654676279</v>
      </c>
      <c r="AV86" s="576">
        <f t="shared" si="77"/>
        <v>132.67631654676279</v>
      </c>
      <c r="AW86" s="576">
        <f t="shared" si="77"/>
        <v>132.67631654676279</v>
      </c>
      <c r="AX86" s="576">
        <f t="shared" si="77"/>
        <v>132.67631654676279</v>
      </c>
      <c r="AY86" s="576">
        <f t="shared" si="77"/>
        <v>132.67631654676279</v>
      </c>
      <c r="AZ86" s="576">
        <f t="shared" si="77"/>
        <v>132.67631654676279</v>
      </c>
      <c r="BA86" s="576">
        <f t="shared" si="77"/>
        <v>132.67631654676279</v>
      </c>
      <c r="BB86" s="576">
        <f t="shared" si="77"/>
        <v>132.67631654676279</v>
      </c>
      <c r="BC86" s="576">
        <f t="shared" si="77"/>
        <v>132.67631654676279</v>
      </c>
      <c r="BD86" s="576">
        <f t="shared" si="77"/>
        <v>132.67631654676279</v>
      </c>
      <c r="BE86" s="576">
        <f t="shared" si="77"/>
        <v>132.67631654676279</v>
      </c>
      <c r="BF86" s="576">
        <f t="shared" si="77"/>
        <v>132.67631654676279</v>
      </c>
      <c r="BG86" s="576">
        <f t="shared" si="77"/>
        <v>132.67631654676279</v>
      </c>
      <c r="BH86" s="576">
        <f t="shared" si="78"/>
        <v>132.67631654676279</v>
      </c>
      <c r="BI86" s="576">
        <f t="shared" si="78"/>
        <v>132.67631654676279</v>
      </c>
      <c r="BJ86" s="576">
        <f t="shared" si="78"/>
        <v>132.67631654676279</v>
      </c>
      <c r="BK86" s="576">
        <f t="shared" si="78"/>
        <v>132.67631654676279</v>
      </c>
      <c r="BL86" s="576">
        <f t="shared" si="78"/>
        <v>132.67631654676279</v>
      </c>
      <c r="BM86" s="576">
        <f t="shared" si="78"/>
        <v>132.67631654676279</v>
      </c>
      <c r="BN86" s="576">
        <f t="shared" si="78"/>
        <v>132.67631654676279</v>
      </c>
      <c r="BO86" s="576">
        <f t="shared" si="78"/>
        <v>132.67631654676279</v>
      </c>
      <c r="BP86" s="576">
        <f t="shared" si="75"/>
        <v>132.67631654676279</v>
      </c>
      <c r="BQ86" s="576">
        <f t="shared" si="75"/>
        <v>132.67631654676279</v>
      </c>
      <c r="BR86" s="576">
        <f t="shared" si="75"/>
        <v>132.67631654676279</v>
      </c>
      <c r="BS86" s="576">
        <f t="shared" si="75"/>
        <v>132.67631654676279</v>
      </c>
      <c r="BT86" s="576">
        <f t="shared" si="75"/>
        <v>132.67631654676279</v>
      </c>
      <c r="BU86" s="576">
        <f t="shared" si="75"/>
        <v>132.67631654676279</v>
      </c>
      <c r="BV86" s="576">
        <f t="shared" si="75"/>
        <v>132.67631654676279</v>
      </c>
      <c r="BW86" s="576">
        <f t="shared" si="75"/>
        <v>132.67631654676279</v>
      </c>
      <c r="BX86" s="576">
        <f t="shared" si="75"/>
        <v>132.67631654676279</v>
      </c>
      <c r="BY86" s="576">
        <f t="shared" si="75"/>
        <v>132.67631654676279</v>
      </c>
      <c r="BZ86" s="576">
        <f t="shared" si="75"/>
        <v>132.67631654676279</v>
      </c>
      <c r="CA86" s="576">
        <f t="shared" si="75"/>
        <v>132.67631654676279</v>
      </c>
      <c r="CB86" s="576">
        <f t="shared" si="75"/>
        <v>0</v>
      </c>
      <c r="CC86" s="576">
        <f t="shared" si="75"/>
        <v>0</v>
      </c>
      <c r="CD86" s="576">
        <f t="shared" si="75"/>
        <v>0</v>
      </c>
      <c r="CE86" s="576">
        <f t="shared" si="75"/>
        <v>0</v>
      </c>
      <c r="CF86" s="576">
        <f t="shared" si="75"/>
        <v>0</v>
      </c>
      <c r="CG86" s="576">
        <f t="shared" si="75"/>
        <v>0</v>
      </c>
      <c r="CH86" s="576">
        <f t="shared" si="75"/>
        <v>0</v>
      </c>
      <c r="CI86" s="576">
        <f t="shared" si="75"/>
        <v>0</v>
      </c>
      <c r="CJ86" s="576">
        <f t="shared" si="75"/>
        <v>0</v>
      </c>
      <c r="CK86" s="576">
        <f t="shared" si="75"/>
        <v>0</v>
      </c>
      <c r="CL86" s="576">
        <f t="shared" si="75"/>
        <v>0</v>
      </c>
      <c r="CM86" s="576">
        <f t="shared" si="79"/>
        <v>0</v>
      </c>
      <c r="CN86" s="576">
        <f t="shared" si="79"/>
        <v>0</v>
      </c>
      <c r="CO86" s="576">
        <f t="shared" si="79"/>
        <v>0</v>
      </c>
      <c r="CP86" s="576">
        <f t="shared" si="79"/>
        <v>0</v>
      </c>
      <c r="CQ86" s="295" t="s">
        <v>126</v>
      </c>
    </row>
    <row r="87" spans="9:95" x14ac:dyDescent="0.25">
      <c r="I87" s="295" t="s">
        <v>167</v>
      </c>
      <c r="J87" s="403">
        <v>10566</v>
      </c>
      <c r="K87" s="404" t="s">
        <v>348</v>
      </c>
      <c r="L87" s="405">
        <f t="shared" si="73"/>
        <v>1399.6366618705024</v>
      </c>
      <c r="M87" s="405">
        <f t="shared" si="73"/>
        <v>1399.6366618705024</v>
      </c>
      <c r="N87" s="405">
        <f t="shared" si="73"/>
        <v>1387.4092550475737</v>
      </c>
      <c r="O87" s="406">
        <f t="shared" si="73"/>
        <v>1231.0135790206532</v>
      </c>
      <c r="P87" s="405">
        <f t="shared" si="73"/>
        <v>1111.2781891058569</v>
      </c>
      <c r="Q87" s="405">
        <f t="shared" si="73"/>
        <v>1071.6760863309341</v>
      </c>
      <c r="R87" s="405">
        <f t="shared" si="73"/>
        <v>1071.6760863309341</v>
      </c>
      <c r="S87" s="405">
        <f t="shared" si="73"/>
        <v>1071.6760863309341</v>
      </c>
      <c r="T87" s="575">
        <f t="shared" si="73"/>
        <v>1071.6760863309341</v>
      </c>
      <c r="U87" s="575">
        <f t="shared" si="73"/>
        <v>1071.6760863309341</v>
      </c>
      <c r="V87" s="461">
        <f t="shared" si="73"/>
        <v>1071.6760863309341</v>
      </c>
      <c r="W87" s="461">
        <f t="shared" si="73"/>
        <v>1071.6760863309341</v>
      </c>
      <c r="X87" s="461">
        <f t="shared" si="73"/>
        <v>1071.6760863309341</v>
      </c>
      <c r="Y87" s="461">
        <f t="shared" si="73"/>
        <v>1071.6760863309341</v>
      </c>
      <c r="Z87" s="461">
        <f t="shared" si="73"/>
        <v>1071.6760863309341</v>
      </c>
      <c r="AA87" s="461">
        <f t="shared" si="73"/>
        <v>1063.6554003249003</v>
      </c>
      <c r="AB87" s="461">
        <f t="shared" si="73"/>
        <v>947.35545323740894</v>
      </c>
      <c r="AC87" s="461">
        <f t="shared" si="73"/>
        <v>963.39682524947671</v>
      </c>
      <c r="AD87" s="461">
        <f t="shared" si="73"/>
        <v>893.48317889688155</v>
      </c>
      <c r="AE87" s="461">
        <f t="shared" si="73"/>
        <v>947.35545323740917</v>
      </c>
      <c r="AF87" s="461">
        <f t="shared" si="73"/>
        <v>947.35545323740917</v>
      </c>
      <c r="AG87" s="461">
        <f t="shared" si="73"/>
        <v>947.35545323740917</v>
      </c>
      <c r="AH87" s="576">
        <f t="shared" si="77"/>
        <v>834.67309352517918</v>
      </c>
      <c r="AI87" s="576">
        <f t="shared" si="77"/>
        <v>834.67309352517918</v>
      </c>
      <c r="AJ87" s="576">
        <f t="shared" si="77"/>
        <v>834.67309352517918</v>
      </c>
      <c r="AK87" s="576">
        <f t="shared" si="77"/>
        <v>834.67309352517918</v>
      </c>
      <c r="AL87" s="576">
        <f t="shared" si="77"/>
        <v>722.46820143884815</v>
      </c>
      <c r="AM87" s="576">
        <f t="shared" si="77"/>
        <v>722.46820143884815</v>
      </c>
      <c r="AN87" s="576">
        <f t="shared" si="77"/>
        <v>722.46820143884815</v>
      </c>
      <c r="AO87" s="576">
        <f t="shared" si="77"/>
        <v>722.46820143884815</v>
      </c>
      <c r="AP87" s="576">
        <f t="shared" si="77"/>
        <v>722.46820143884815</v>
      </c>
      <c r="AQ87" s="576">
        <f t="shared" si="77"/>
        <v>722.46820143884815</v>
      </c>
      <c r="AR87" s="576">
        <f t="shared" si="77"/>
        <v>722.46820143884815</v>
      </c>
      <c r="AS87" s="576">
        <f t="shared" si="77"/>
        <v>579.64569784172613</v>
      </c>
      <c r="AT87" s="576">
        <f t="shared" si="77"/>
        <v>579.64569784172613</v>
      </c>
      <c r="AU87" s="576">
        <f t="shared" si="77"/>
        <v>579.64569784172613</v>
      </c>
      <c r="AV87" s="576">
        <f t="shared" si="77"/>
        <v>579.64569784172613</v>
      </c>
      <c r="AW87" s="576">
        <f t="shared" si="77"/>
        <v>579.64569784172613</v>
      </c>
      <c r="AX87" s="576">
        <f t="shared" si="77"/>
        <v>579.64569784172613</v>
      </c>
      <c r="AY87" s="576">
        <f t="shared" si="77"/>
        <v>579.64569784172613</v>
      </c>
      <c r="AZ87" s="576">
        <f t="shared" si="77"/>
        <v>579.64569784172613</v>
      </c>
      <c r="BA87" s="576">
        <f t="shared" si="77"/>
        <v>579.64569784172613</v>
      </c>
      <c r="BB87" s="576">
        <f t="shared" si="77"/>
        <v>579.64569784172613</v>
      </c>
      <c r="BC87" s="576">
        <f t="shared" si="77"/>
        <v>579.64569784172613</v>
      </c>
      <c r="BD87" s="576">
        <f t="shared" si="77"/>
        <v>579.64569784172613</v>
      </c>
      <c r="BE87" s="576">
        <f t="shared" si="77"/>
        <v>579.64569784172613</v>
      </c>
      <c r="BF87" s="576">
        <f t="shared" si="77"/>
        <v>579.64569784172613</v>
      </c>
      <c r="BG87" s="576">
        <f t="shared" si="77"/>
        <v>579.64569784172613</v>
      </c>
      <c r="BH87" s="576">
        <f t="shared" si="78"/>
        <v>579.64569784172613</v>
      </c>
      <c r="BI87" s="576">
        <f t="shared" si="78"/>
        <v>579.64569784172613</v>
      </c>
      <c r="BJ87" s="576">
        <f t="shared" si="78"/>
        <v>579.64569784172613</v>
      </c>
      <c r="BK87" s="576">
        <f t="shared" si="78"/>
        <v>579.64569784172613</v>
      </c>
      <c r="BL87" s="576">
        <f t="shared" si="78"/>
        <v>579.64569784172613</v>
      </c>
      <c r="BM87" s="576">
        <f t="shared" si="78"/>
        <v>579.64569784172613</v>
      </c>
      <c r="BN87" s="576">
        <f t="shared" si="78"/>
        <v>579.64569784172613</v>
      </c>
      <c r="BO87" s="576">
        <f t="shared" si="78"/>
        <v>579.64569784172613</v>
      </c>
      <c r="BP87" s="576">
        <f t="shared" si="75"/>
        <v>579.64569784172613</v>
      </c>
      <c r="BQ87" s="576">
        <f t="shared" si="75"/>
        <v>579.64569784172613</v>
      </c>
      <c r="BR87" s="576">
        <f t="shared" si="75"/>
        <v>579.64569784172613</v>
      </c>
      <c r="BS87" s="576">
        <f t="shared" si="75"/>
        <v>579.64569784172613</v>
      </c>
      <c r="BT87" s="576">
        <f t="shared" si="75"/>
        <v>579.64569784172613</v>
      </c>
      <c r="BU87" s="576">
        <f t="shared" si="75"/>
        <v>579.64569784172613</v>
      </c>
      <c r="BV87" s="576">
        <f t="shared" si="75"/>
        <v>579.64569784172613</v>
      </c>
      <c r="BW87" s="576">
        <f t="shared" si="75"/>
        <v>579.64569784172613</v>
      </c>
      <c r="BX87" s="576">
        <f t="shared" si="75"/>
        <v>579.64569784172613</v>
      </c>
      <c r="BY87" s="576">
        <f t="shared" si="75"/>
        <v>579.64569784172613</v>
      </c>
      <c r="BZ87" s="576">
        <f t="shared" si="75"/>
        <v>579.64569784172613</v>
      </c>
      <c r="CA87" s="576">
        <f t="shared" si="75"/>
        <v>579.64569784172613</v>
      </c>
      <c r="CB87" s="576">
        <f t="shared" si="75"/>
        <v>579.64569784172613</v>
      </c>
      <c r="CC87" s="576">
        <f t="shared" si="75"/>
        <v>579.64569784172613</v>
      </c>
      <c r="CD87" s="576">
        <f t="shared" si="75"/>
        <v>579.64569784172613</v>
      </c>
      <c r="CE87" s="576">
        <f t="shared" si="75"/>
        <v>579.64569784172613</v>
      </c>
      <c r="CF87" s="576">
        <f t="shared" si="75"/>
        <v>579.64569784172613</v>
      </c>
      <c r="CG87" s="576">
        <f t="shared" si="75"/>
        <v>579.64569784172613</v>
      </c>
      <c r="CH87" s="576">
        <f t="shared" si="75"/>
        <v>579.64569784172613</v>
      </c>
      <c r="CI87" s="576">
        <f t="shared" si="75"/>
        <v>579.64569784172613</v>
      </c>
      <c r="CJ87" s="576">
        <f t="shared" si="75"/>
        <v>579.64569784172613</v>
      </c>
      <c r="CK87" s="576">
        <f t="shared" si="75"/>
        <v>124.32</v>
      </c>
      <c r="CL87" s="576">
        <f t="shared" si="75"/>
        <v>124.32</v>
      </c>
      <c r="CM87" s="576">
        <f t="shared" si="79"/>
        <v>124.32</v>
      </c>
      <c r="CN87" s="576">
        <f t="shared" si="79"/>
        <v>124.32</v>
      </c>
      <c r="CO87" s="576">
        <f t="shared" si="79"/>
        <v>124.32</v>
      </c>
      <c r="CP87" s="576">
        <f t="shared" si="79"/>
        <v>124.32</v>
      </c>
      <c r="CQ87" s="295" t="s">
        <v>167</v>
      </c>
    </row>
    <row r="88" spans="9:95" x14ac:dyDescent="0.25">
      <c r="I88" s="295" t="s">
        <v>173</v>
      </c>
      <c r="J88" s="403">
        <v>10574</v>
      </c>
      <c r="K88" s="404" t="s">
        <v>373</v>
      </c>
      <c r="L88" s="405">
        <f t="shared" si="73"/>
        <v>928.4357985611507</v>
      </c>
      <c r="M88" s="405">
        <f t="shared" si="73"/>
        <v>928.4357985611507</v>
      </c>
      <c r="N88" s="405">
        <f t="shared" si="73"/>
        <v>928.4357985611507</v>
      </c>
      <c r="O88" s="406">
        <f t="shared" si="73"/>
        <v>928.4357985611507</v>
      </c>
      <c r="P88" s="405">
        <f t="shared" si="73"/>
        <v>697.4437821171631</v>
      </c>
      <c r="Q88" s="405">
        <f t="shared" si="73"/>
        <v>679.67516546762556</v>
      </c>
      <c r="R88" s="405">
        <f t="shared" si="73"/>
        <v>679.67516546762556</v>
      </c>
      <c r="S88" s="405">
        <f t="shared" si="73"/>
        <v>679.67516546762556</v>
      </c>
      <c r="T88" s="575">
        <f t="shared" si="73"/>
        <v>679.67516546762556</v>
      </c>
      <c r="U88" s="575">
        <f t="shared" si="73"/>
        <v>679.67516546762556</v>
      </c>
      <c r="V88" s="461">
        <f t="shared" si="73"/>
        <v>679.67516546762556</v>
      </c>
      <c r="W88" s="461">
        <f t="shared" si="73"/>
        <v>658.60690647481977</v>
      </c>
      <c r="X88" s="461">
        <f t="shared" si="73"/>
        <v>553.26561151079113</v>
      </c>
      <c r="Y88" s="461">
        <f t="shared" si="73"/>
        <v>553.26561151079113</v>
      </c>
      <c r="Z88" s="461">
        <f t="shared" si="73"/>
        <v>553.26561151079113</v>
      </c>
      <c r="AA88" s="461">
        <f t="shared" si="73"/>
        <v>447.8530814574147</v>
      </c>
      <c r="AB88" s="461">
        <f t="shared" si="73"/>
        <v>440.58325179856115</v>
      </c>
      <c r="AC88" s="461">
        <f t="shared" si="73"/>
        <v>440.58325179856115</v>
      </c>
      <c r="AD88" s="461">
        <f t="shared" si="73"/>
        <v>440.58325179856115</v>
      </c>
      <c r="AE88" s="461">
        <f t="shared" si="73"/>
        <v>440.58325179856115</v>
      </c>
      <c r="AF88" s="461">
        <f t="shared" si="73"/>
        <v>440.58325179856115</v>
      </c>
      <c r="AG88" s="461">
        <f t="shared" si="73"/>
        <v>440.58325179856115</v>
      </c>
      <c r="AH88" s="576">
        <f t="shared" si="77"/>
        <v>440.58325179856115</v>
      </c>
      <c r="AI88" s="576">
        <f t="shared" si="77"/>
        <v>440.58325179856115</v>
      </c>
      <c r="AJ88" s="576">
        <f t="shared" si="77"/>
        <v>440.58325179856115</v>
      </c>
      <c r="AK88" s="576">
        <f t="shared" si="77"/>
        <v>440.58325179856115</v>
      </c>
      <c r="AL88" s="576">
        <f t="shared" si="77"/>
        <v>440.58325179856115</v>
      </c>
      <c r="AM88" s="576">
        <f t="shared" si="77"/>
        <v>440.58325179856115</v>
      </c>
      <c r="AN88" s="576">
        <f t="shared" si="77"/>
        <v>440.58325179856115</v>
      </c>
      <c r="AO88" s="576">
        <f t="shared" si="77"/>
        <v>440.58325179856115</v>
      </c>
      <c r="AP88" s="576">
        <f t="shared" si="77"/>
        <v>238.6144460431654</v>
      </c>
      <c r="AQ88" s="576">
        <f t="shared" si="77"/>
        <v>238.6144460431654</v>
      </c>
      <c r="AR88" s="576">
        <f t="shared" si="77"/>
        <v>238.6144460431654</v>
      </c>
      <c r="AS88" s="576">
        <f t="shared" si="77"/>
        <v>238.6144460431654</v>
      </c>
      <c r="AT88" s="576">
        <f t="shared" si="77"/>
        <v>238.6144460431654</v>
      </c>
      <c r="AU88" s="576">
        <f t="shared" si="77"/>
        <v>238.6144460431654</v>
      </c>
      <c r="AV88" s="576">
        <f t="shared" si="77"/>
        <v>238.6144460431654</v>
      </c>
      <c r="AW88" s="576">
        <f t="shared" si="77"/>
        <v>238.6144460431654</v>
      </c>
      <c r="AX88" s="576">
        <f t="shared" si="77"/>
        <v>238.6144460431654</v>
      </c>
      <c r="AY88" s="576">
        <f t="shared" si="77"/>
        <v>238.6144460431654</v>
      </c>
      <c r="AZ88" s="576">
        <f t="shared" si="77"/>
        <v>238.6144460431654</v>
      </c>
      <c r="BA88" s="576">
        <f t="shared" si="77"/>
        <v>238.6144460431654</v>
      </c>
      <c r="BB88" s="576">
        <f t="shared" si="77"/>
        <v>238.6144460431654</v>
      </c>
      <c r="BC88" s="576">
        <f t="shared" si="77"/>
        <v>238.6144460431654</v>
      </c>
      <c r="BD88" s="576">
        <f t="shared" si="77"/>
        <v>238.6144460431654</v>
      </c>
      <c r="BE88" s="576">
        <f t="shared" si="77"/>
        <v>238.6144460431654</v>
      </c>
      <c r="BF88" s="576">
        <f t="shared" si="77"/>
        <v>238.6144460431654</v>
      </c>
      <c r="BG88" s="576">
        <f>SUMIF($C$4:$C$70,$J88,BG$4:BG$70)</f>
        <v>238.6144460431654</v>
      </c>
      <c r="BH88" s="576">
        <f t="shared" si="78"/>
        <v>238.6144460431654</v>
      </c>
      <c r="BI88" s="576">
        <f t="shared" si="78"/>
        <v>238.6144460431654</v>
      </c>
      <c r="BJ88" s="576">
        <f t="shared" si="78"/>
        <v>238.6144460431654</v>
      </c>
      <c r="BK88" s="576">
        <f t="shared" si="78"/>
        <v>238.6144460431654</v>
      </c>
      <c r="BL88" s="576">
        <f t="shared" si="78"/>
        <v>238.6144460431654</v>
      </c>
      <c r="BM88" s="576">
        <f t="shared" si="78"/>
        <v>238.6144460431654</v>
      </c>
      <c r="BN88" s="576">
        <f t="shared" si="78"/>
        <v>238.6144460431654</v>
      </c>
      <c r="BO88" s="576">
        <f t="shared" si="78"/>
        <v>238.6144460431654</v>
      </c>
      <c r="BP88" s="576">
        <f t="shared" si="75"/>
        <v>238.6144460431654</v>
      </c>
      <c r="BQ88" s="576">
        <f t="shared" si="75"/>
        <v>238.6144460431654</v>
      </c>
      <c r="BR88" s="576">
        <f t="shared" si="75"/>
        <v>238.6144460431654</v>
      </c>
      <c r="BS88" s="576">
        <f t="shared" si="75"/>
        <v>238.6144460431654</v>
      </c>
      <c r="BT88" s="576">
        <f t="shared" si="75"/>
        <v>238.6144460431654</v>
      </c>
      <c r="BU88" s="576">
        <f t="shared" si="75"/>
        <v>238.6144460431654</v>
      </c>
      <c r="BV88" s="576">
        <f t="shared" si="75"/>
        <v>238.6144460431654</v>
      </c>
      <c r="BW88" s="576">
        <f t="shared" si="75"/>
        <v>238.6144460431654</v>
      </c>
      <c r="BX88" s="576">
        <f t="shared" si="75"/>
        <v>238.6144460431654</v>
      </c>
      <c r="BY88" s="576">
        <f t="shared" si="75"/>
        <v>238.6144460431654</v>
      </c>
      <c r="BZ88" s="576">
        <f t="shared" si="75"/>
        <v>238.6144460431654</v>
      </c>
      <c r="CA88" s="576">
        <f t="shared" si="75"/>
        <v>238.6144460431654</v>
      </c>
      <c r="CB88" s="576">
        <f t="shared" si="75"/>
        <v>238.6144460431654</v>
      </c>
      <c r="CC88" s="576">
        <f t="shared" si="75"/>
        <v>238.6144460431654</v>
      </c>
      <c r="CD88" s="576">
        <f t="shared" si="75"/>
        <v>238.6144460431654</v>
      </c>
      <c r="CE88" s="576">
        <f t="shared" si="75"/>
        <v>238.6144460431654</v>
      </c>
      <c r="CF88" s="576">
        <f t="shared" si="75"/>
        <v>238.6144460431654</v>
      </c>
      <c r="CG88" s="576">
        <f t="shared" si="75"/>
        <v>238.6144460431654</v>
      </c>
      <c r="CH88" s="576">
        <f t="shared" si="75"/>
        <v>238.6144460431654</v>
      </c>
      <c r="CI88" s="576">
        <f t="shared" si="75"/>
        <v>238.6144460431654</v>
      </c>
      <c r="CJ88" s="576">
        <f t="shared" si="75"/>
        <v>238.6144460431654</v>
      </c>
      <c r="CK88" s="576">
        <f t="shared" si="75"/>
        <v>0</v>
      </c>
      <c r="CL88" s="576">
        <f t="shared" si="75"/>
        <v>0</v>
      </c>
      <c r="CM88" s="576">
        <f t="shared" si="79"/>
        <v>0</v>
      </c>
      <c r="CN88" s="576">
        <f t="shared" si="79"/>
        <v>0</v>
      </c>
      <c r="CO88" s="576">
        <f t="shared" si="79"/>
        <v>0</v>
      </c>
      <c r="CP88" s="576">
        <f t="shared" si="79"/>
        <v>0</v>
      </c>
      <c r="CQ88" s="295" t="s">
        <v>173</v>
      </c>
    </row>
    <row r="89" spans="9:95" x14ac:dyDescent="0.25">
      <c r="I89" s="295" t="s">
        <v>222</v>
      </c>
      <c r="J89" s="403">
        <v>10567</v>
      </c>
      <c r="K89" s="404" t="s">
        <v>426</v>
      </c>
      <c r="L89" s="405">
        <f t="shared" si="73"/>
        <v>0</v>
      </c>
      <c r="M89" s="405">
        <f t="shared" si="73"/>
        <v>0</v>
      </c>
      <c r="N89" s="405">
        <f t="shared" si="73"/>
        <v>0</v>
      </c>
      <c r="O89" s="406">
        <f t="shared" si="73"/>
        <v>0</v>
      </c>
      <c r="P89" s="405">
        <f t="shared" si="73"/>
        <v>0</v>
      </c>
      <c r="Q89" s="405">
        <f t="shared" si="73"/>
        <v>0</v>
      </c>
      <c r="R89" s="405">
        <f t="shared" si="73"/>
        <v>0</v>
      </c>
      <c r="S89" s="405">
        <f t="shared" si="73"/>
        <v>0</v>
      </c>
      <c r="T89" s="575">
        <f t="shared" si="73"/>
        <v>0</v>
      </c>
      <c r="U89" s="575">
        <f t="shared" si="73"/>
        <v>0</v>
      </c>
      <c r="V89" s="461">
        <f t="shared" si="73"/>
        <v>0</v>
      </c>
      <c r="W89" s="461">
        <f t="shared" si="73"/>
        <v>0</v>
      </c>
      <c r="X89" s="461">
        <f t="shared" si="73"/>
        <v>0</v>
      </c>
      <c r="Y89" s="461">
        <f t="shared" si="73"/>
        <v>0</v>
      </c>
      <c r="Z89" s="461">
        <f t="shared" si="73"/>
        <v>0</v>
      </c>
      <c r="AA89" s="461">
        <f t="shared" si="73"/>
        <v>0</v>
      </c>
      <c r="AB89" s="461">
        <f t="shared" si="73"/>
        <v>0</v>
      </c>
      <c r="AC89" s="461">
        <f t="shared" si="73"/>
        <v>0</v>
      </c>
      <c r="AD89" s="461">
        <f t="shared" si="73"/>
        <v>0</v>
      </c>
      <c r="AE89" s="461">
        <f t="shared" si="73"/>
        <v>0</v>
      </c>
      <c r="AF89" s="461">
        <f t="shared" si="73"/>
        <v>0</v>
      </c>
      <c r="AG89" s="461">
        <f t="shared" si="73"/>
        <v>0</v>
      </c>
      <c r="AH89" s="576">
        <f t="shared" si="77"/>
        <v>0</v>
      </c>
      <c r="AI89" s="576">
        <f t="shared" si="77"/>
        <v>0</v>
      </c>
      <c r="AJ89" s="576">
        <f t="shared" si="77"/>
        <v>0</v>
      </c>
      <c r="AK89" s="576">
        <f t="shared" si="77"/>
        <v>0</v>
      </c>
      <c r="AL89" s="576">
        <f t="shared" si="77"/>
        <v>0</v>
      </c>
      <c r="AM89" s="576">
        <f t="shared" si="77"/>
        <v>0</v>
      </c>
      <c r="AN89" s="576">
        <f t="shared" si="77"/>
        <v>0</v>
      </c>
      <c r="AO89" s="576">
        <f t="shared" si="77"/>
        <v>0</v>
      </c>
      <c r="AP89" s="576">
        <f t="shared" si="77"/>
        <v>0</v>
      </c>
      <c r="AQ89" s="576">
        <f t="shared" si="77"/>
        <v>0</v>
      </c>
      <c r="AR89" s="576">
        <f t="shared" si="77"/>
        <v>0</v>
      </c>
      <c r="AS89" s="576">
        <f t="shared" si="77"/>
        <v>0</v>
      </c>
      <c r="AT89" s="576">
        <f t="shared" si="77"/>
        <v>0</v>
      </c>
      <c r="AU89" s="576">
        <f t="shared" si="77"/>
        <v>0</v>
      </c>
      <c r="AV89" s="576">
        <f t="shared" si="77"/>
        <v>0</v>
      </c>
      <c r="AW89" s="576">
        <f t="shared" si="77"/>
        <v>0</v>
      </c>
      <c r="AX89" s="576">
        <f t="shared" si="77"/>
        <v>0</v>
      </c>
      <c r="AY89" s="576">
        <f t="shared" si="77"/>
        <v>0</v>
      </c>
      <c r="AZ89" s="576">
        <f t="shared" si="77"/>
        <v>0</v>
      </c>
      <c r="BA89" s="576">
        <f t="shared" si="77"/>
        <v>0</v>
      </c>
      <c r="BB89" s="576">
        <f t="shared" si="77"/>
        <v>0</v>
      </c>
      <c r="BC89" s="576">
        <f t="shared" si="77"/>
        <v>0</v>
      </c>
      <c r="BD89" s="576">
        <f t="shared" si="77"/>
        <v>0</v>
      </c>
      <c r="BE89" s="576">
        <f t="shared" si="77"/>
        <v>0</v>
      </c>
      <c r="BF89" s="576">
        <f t="shared" si="77"/>
        <v>0</v>
      </c>
      <c r="BG89" s="576">
        <f>SUMIF($C$4:$C$70,$J89,BG$4:BG$70)</f>
        <v>0</v>
      </c>
      <c r="BH89" s="576">
        <f t="shared" si="78"/>
        <v>0</v>
      </c>
      <c r="BI89" s="576">
        <f t="shared" si="78"/>
        <v>0</v>
      </c>
      <c r="BJ89" s="576">
        <f t="shared" si="78"/>
        <v>0</v>
      </c>
      <c r="BK89" s="576">
        <f t="shared" si="78"/>
        <v>0</v>
      </c>
      <c r="BL89" s="576">
        <f t="shared" si="78"/>
        <v>0</v>
      </c>
      <c r="BM89" s="576">
        <f t="shared" si="78"/>
        <v>0</v>
      </c>
      <c r="BN89" s="576">
        <f t="shared" si="78"/>
        <v>0</v>
      </c>
      <c r="BO89" s="576">
        <f t="shared" si="78"/>
        <v>0</v>
      </c>
      <c r="BP89" s="576">
        <f t="shared" si="75"/>
        <v>0</v>
      </c>
      <c r="BQ89" s="576">
        <f t="shared" si="75"/>
        <v>0</v>
      </c>
      <c r="BR89" s="576">
        <f t="shared" si="75"/>
        <v>0</v>
      </c>
      <c r="BS89" s="576">
        <f t="shared" si="75"/>
        <v>0</v>
      </c>
      <c r="BT89" s="576">
        <f t="shared" si="75"/>
        <v>0</v>
      </c>
      <c r="BU89" s="576">
        <f t="shared" si="75"/>
        <v>0</v>
      </c>
      <c r="BV89" s="576">
        <f t="shared" si="75"/>
        <v>0</v>
      </c>
      <c r="BW89" s="576">
        <f t="shared" si="75"/>
        <v>0</v>
      </c>
      <c r="BX89" s="576">
        <f t="shared" si="75"/>
        <v>0</v>
      </c>
      <c r="BY89" s="576">
        <f t="shared" si="75"/>
        <v>0</v>
      </c>
      <c r="BZ89" s="576">
        <f t="shared" si="75"/>
        <v>0</v>
      </c>
      <c r="CA89" s="576">
        <f t="shared" si="75"/>
        <v>0</v>
      </c>
      <c r="CB89" s="576">
        <f t="shared" si="75"/>
        <v>0</v>
      </c>
      <c r="CC89" s="576">
        <f t="shared" si="75"/>
        <v>0</v>
      </c>
      <c r="CD89" s="576">
        <f t="shared" si="75"/>
        <v>0</v>
      </c>
      <c r="CE89" s="576">
        <f t="shared" si="75"/>
        <v>0</v>
      </c>
      <c r="CF89" s="576">
        <f t="shared" si="75"/>
        <v>0</v>
      </c>
      <c r="CG89" s="576">
        <f t="shared" si="75"/>
        <v>0</v>
      </c>
      <c r="CH89" s="576">
        <f t="shared" si="75"/>
        <v>0</v>
      </c>
      <c r="CI89" s="576">
        <f t="shared" si="75"/>
        <v>0</v>
      </c>
      <c r="CJ89" s="576">
        <f t="shared" si="75"/>
        <v>0</v>
      </c>
      <c r="CK89" s="576">
        <f t="shared" si="75"/>
        <v>0</v>
      </c>
      <c r="CL89" s="576">
        <f t="shared" si="75"/>
        <v>0</v>
      </c>
      <c r="CM89" s="576">
        <f t="shared" si="79"/>
        <v>0</v>
      </c>
      <c r="CN89" s="576">
        <f t="shared" si="79"/>
        <v>0</v>
      </c>
      <c r="CO89" s="576">
        <f t="shared" si="79"/>
        <v>0</v>
      </c>
      <c r="CP89" s="576">
        <f t="shared" si="79"/>
        <v>0</v>
      </c>
      <c r="CQ89" s="295" t="s">
        <v>222</v>
      </c>
    </row>
    <row r="90" spans="9:95" x14ac:dyDescent="0.25">
      <c r="I90" s="295" t="s">
        <v>223</v>
      </c>
      <c r="J90" s="403">
        <v>10575</v>
      </c>
      <c r="K90" s="404" t="s">
        <v>427</v>
      </c>
      <c r="L90" s="405">
        <f t="shared" si="73"/>
        <v>0</v>
      </c>
      <c r="M90" s="405">
        <f t="shared" si="73"/>
        <v>0</v>
      </c>
      <c r="N90" s="405">
        <f t="shared" si="73"/>
        <v>0</v>
      </c>
      <c r="O90" s="406">
        <f t="shared" si="73"/>
        <v>0</v>
      </c>
      <c r="P90" s="405">
        <f t="shared" si="73"/>
        <v>0</v>
      </c>
      <c r="Q90" s="405">
        <f t="shared" si="73"/>
        <v>0</v>
      </c>
      <c r="R90" s="405">
        <f t="shared" si="73"/>
        <v>0</v>
      </c>
      <c r="S90" s="405">
        <f t="shared" si="73"/>
        <v>0</v>
      </c>
      <c r="T90" s="575">
        <f t="shared" si="73"/>
        <v>0</v>
      </c>
      <c r="U90" s="575">
        <f t="shared" si="73"/>
        <v>0</v>
      </c>
      <c r="V90" s="461">
        <f t="shared" si="73"/>
        <v>0</v>
      </c>
      <c r="W90" s="461">
        <f t="shared" si="73"/>
        <v>0</v>
      </c>
      <c r="X90" s="461">
        <f t="shared" si="73"/>
        <v>0</v>
      </c>
      <c r="Y90" s="461">
        <f t="shared" si="73"/>
        <v>0</v>
      </c>
      <c r="Z90" s="461">
        <f t="shared" si="73"/>
        <v>0</v>
      </c>
      <c r="AA90" s="461">
        <f t="shared" si="73"/>
        <v>0</v>
      </c>
      <c r="AB90" s="461">
        <f t="shared" si="73"/>
        <v>0</v>
      </c>
      <c r="AC90" s="461">
        <f t="shared" si="73"/>
        <v>0</v>
      </c>
      <c r="AD90" s="461">
        <f t="shared" si="73"/>
        <v>0</v>
      </c>
      <c r="AE90" s="461">
        <f t="shared" si="73"/>
        <v>0</v>
      </c>
      <c r="AF90" s="461">
        <f t="shared" si="73"/>
        <v>0</v>
      </c>
      <c r="AG90" s="461">
        <f t="shared" si="73"/>
        <v>0</v>
      </c>
      <c r="AH90" s="576">
        <f t="shared" si="77"/>
        <v>0</v>
      </c>
      <c r="AI90" s="576">
        <f t="shared" si="77"/>
        <v>0</v>
      </c>
      <c r="AJ90" s="576">
        <f t="shared" si="77"/>
        <v>0</v>
      </c>
      <c r="AK90" s="576">
        <f t="shared" si="77"/>
        <v>0</v>
      </c>
      <c r="AL90" s="576">
        <f t="shared" si="77"/>
        <v>0</v>
      </c>
      <c r="AM90" s="576">
        <f t="shared" si="77"/>
        <v>0</v>
      </c>
      <c r="AN90" s="576">
        <f t="shared" si="77"/>
        <v>0</v>
      </c>
      <c r="AO90" s="576">
        <f t="shared" si="77"/>
        <v>0</v>
      </c>
      <c r="AP90" s="576">
        <f t="shared" si="77"/>
        <v>0</v>
      </c>
      <c r="AQ90" s="576">
        <f t="shared" si="77"/>
        <v>0</v>
      </c>
      <c r="AR90" s="576">
        <f t="shared" si="77"/>
        <v>0</v>
      </c>
      <c r="AS90" s="576">
        <f t="shared" si="77"/>
        <v>0</v>
      </c>
      <c r="AT90" s="576">
        <f t="shared" si="77"/>
        <v>0</v>
      </c>
      <c r="AU90" s="576">
        <f t="shared" si="77"/>
        <v>0</v>
      </c>
      <c r="AV90" s="576">
        <f t="shared" si="77"/>
        <v>0</v>
      </c>
      <c r="AW90" s="576">
        <f t="shared" si="77"/>
        <v>0</v>
      </c>
      <c r="AX90" s="576">
        <f t="shared" si="77"/>
        <v>0</v>
      </c>
      <c r="AY90" s="576">
        <f t="shared" si="77"/>
        <v>0</v>
      </c>
      <c r="AZ90" s="576">
        <f t="shared" si="77"/>
        <v>0</v>
      </c>
      <c r="BA90" s="576">
        <f t="shared" si="77"/>
        <v>0</v>
      </c>
      <c r="BB90" s="576">
        <f t="shared" si="77"/>
        <v>0</v>
      </c>
      <c r="BC90" s="576">
        <f t="shared" si="77"/>
        <v>0</v>
      </c>
      <c r="BD90" s="576">
        <f t="shared" si="77"/>
        <v>0</v>
      </c>
      <c r="BE90" s="576">
        <f t="shared" si="77"/>
        <v>0</v>
      </c>
      <c r="BF90" s="576">
        <f t="shared" si="77"/>
        <v>0</v>
      </c>
      <c r="BG90" s="576">
        <f>SUMIF($C$4:$C$70,$J90,BG$4:BG$70)</f>
        <v>0</v>
      </c>
      <c r="BH90" s="576">
        <f t="shared" si="78"/>
        <v>0</v>
      </c>
      <c r="BI90" s="576">
        <f t="shared" si="78"/>
        <v>0</v>
      </c>
      <c r="BJ90" s="576">
        <f t="shared" si="78"/>
        <v>0</v>
      </c>
      <c r="BK90" s="576">
        <f t="shared" si="78"/>
        <v>0</v>
      </c>
      <c r="BL90" s="576">
        <f t="shared" si="78"/>
        <v>0</v>
      </c>
      <c r="BM90" s="576">
        <f t="shared" si="78"/>
        <v>0</v>
      </c>
      <c r="BN90" s="576">
        <f t="shared" si="78"/>
        <v>0</v>
      </c>
      <c r="BO90" s="576">
        <f t="shared" si="78"/>
        <v>0</v>
      </c>
      <c r="BP90" s="576">
        <f t="shared" si="75"/>
        <v>0</v>
      </c>
      <c r="BQ90" s="576">
        <f t="shared" si="75"/>
        <v>0</v>
      </c>
      <c r="BR90" s="576">
        <f t="shared" si="75"/>
        <v>0</v>
      </c>
      <c r="BS90" s="576">
        <f t="shared" si="75"/>
        <v>0</v>
      </c>
      <c r="BT90" s="576">
        <f t="shared" si="75"/>
        <v>0</v>
      </c>
      <c r="BU90" s="576">
        <f t="shared" si="75"/>
        <v>0</v>
      </c>
      <c r="BV90" s="576">
        <f t="shared" si="75"/>
        <v>0</v>
      </c>
      <c r="BW90" s="576">
        <f t="shared" si="75"/>
        <v>0</v>
      </c>
      <c r="BX90" s="576">
        <f t="shared" si="75"/>
        <v>0</v>
      </c>
      <c r="BY90" s="576">
        <f t="shared" si="75"/>
        <v>0</v>
      </c>
      <c r="BZ90" s="576">
        <f t="shared" si="75"/>
        <v>0</v>
      </c>
      <c r="CA90" s="576">
        <f t="shared" si="75"/>
        <v>0</v>
      </c>
      <c r="CB90" s="576">
        <f t="shared" si="75"/>
        <v>0</v>
      </c>
      <c r="CC90" s="576">
        <f t="shared" si="75"/>
        <v>0</v>
      </c>
      <c r="CD90" s="576">
        <f t="shared" si="75"/>
        <v>0</v>
      </c>
      <c r="CE90" s="576">
        <f t="shared" si="75"/>
        <v>0</v>
      </c>
      <c r="CF90" s="576">
        <f t="shared" si="75"/>
        <v>0</v>
      </c>
      <c r="CG90" s="576">
        <f t="shared" si="75"/>
        <v>0</v>
      </c>
      <c r="CH90" s="576">
        <f t="shared" si="75"/>
        <v>0</v>
      </c>
      <c r="CI90" s="576">
        <f t="shared" si="75"/>
        <v>0</v>
      </c>
      <c r="CJ90" s="576">
        <f t="shared" si="75"/>
        <v>0</v>
      </c>
      <c r="CK90" s="576">
        <f t="shared" si="75"/>
        <v>0</v>
      </c>
      <c r="CL90" s="576">
        <f t="shared" si="75"/>
        <v>0</v>
      </c>
      <c r="CM90" s="576">
        <f t="shared" si="79"/>
        <v>0</v>
      </c>
      <c r="CN90" s="576">
        <f t="shared" si="79"/>
        <v>0</v>
      </c>
      <c r="CO90" s="576">
        <f t="shared" si="79"/>
        <v>0</v>
      </c>
      <c r="CP90" s="576">
        <f t="shared" si="79"/>
        <v>0</v>
      </c>
      <c r="CQ90" s="295" t="s">
        <v>223</v>
      </c>
    </row>
    <row r="91" spans="9:95" x14ac:dyDescent="0.25">
      <c r="I91" s="295" t="s">
        <v>212</v>
      </c>
      <c r="J91" s="403">
        <v>10576</v>
      </c>
      <c r="K91" s="404" t="s">
        <v>386</v>
      </c>
      <c r="L91" s="405">
        <f t="shared" si="73"/>
        <v>627.7505611510785</v>
      </c>
      <c r="M91" s="405">
        <f t="shared" si="73"/>
        <v>618.94526235011926</v>
      </c>
      <c r="N91" s="405">
        <f t="shared" si="73"/>
        <v>449.60893014620513</v>
      </c>
      <c r="O91" s="406">
        <f t="shared" si="73"/>
        <v>365.85956834532334</v>
      </c>
      <c r="P91" s="405">
        <f t="shared" si="73"/>
        <v>365.85956834532334</v>
      </c>
      <c r="Q91" s="405">
        <f t="shared" si="73"/>
        <v>365.85956834532334</v>
      </c>
      <c r="R91" s="405">
        <f t="shared" si="73"/>
        <v>365.85956834532334</v>
      </c>
      <c r="S91" s="405">
        <f t="shared" si="73"/>
        <v>365.85956834532334</v>
      </c>
      <c r="T91" s="575">
        <f t="shared" si="73"/>
        <v>365.85956834532334</v>
      </c>
      <c r="U91" s="575">
        <f t="shared" si="73"/>
        <v>365.85956834532334</v>
      </c>
      <c r="V91" s="461">
        <f t="shared" si="73"/>
        <v>365.85956834532334</v>
      </c>
      <c r="W91" s="461">
        <f t="shared" si="73"/>
        <v>365.85956834532334</v>
      </c>
      <c r="X91" s="461">
        <f t="shared" si="73"/>
        <v>365.85956834532334</v>
      </c>
      <c r="Y91" s="461">
        <f t="shared" si="73"/>
        <v>365.85956834532334</v>
      </c>
      <c r="Z91" s="461">
        <f t="shared" si="73"/>
        <v>365.85956834532334</v>
      </c>
      <c r="AA91" s="461">
        <f t="shared" si="73"/>
        <v>365.85956834532334</v>
      </c>
      <c r="AB91" s="461">
        <f t="shared" si="73"/>
        <v>365.85956834532334</v>
      </c>
      <c r="AC91" s="461">
        <f t="shared" si="73"/>
        <v>214.02486330935247</v>
      </c>
      <c r="AD91" s="461">
        <f t="shared" si="73"/>
        <v>214.02486330935247</v>
      </c>
      <c r="AE91" s="461">
        <f t="shared" si="73"/>
        <v>161.99629426781152</v>
      </c>
      <c r="AF91" s="461">
        <f t="shared" si="73"/>
        <v>113.2195107913669</v>
      </c>
      <c r="AG91" s="461">
        <f t="shared" si="73"/>
        <v>113.2195107913669</v>
      </c>
      <c r="AH91" s="576">
        <f t="shared" si="77"/>
        <v>113.2195107913669</v>
      </c>
      <c r="AI91" s="576">
        <f t="shared" si="77"/>
        <v>113.2195107913669</v>
      </c>
      <c r="AJ91" s="576">
        <f t="shared" si="77"/>
        <v>113.2195107913669</v>
      </c>
      <c r="AK91" s="576">
        <f t="shared" si="77"/>
        <v>113.2195107913669</v>
      </c>
      <c r="AL91" s="576">
        <f t="shared" si="77"/>
        <v>113.2195107913669</v>
      </c>
      <c r="AM91" s="576">
        <f t="shared" si="77"/>
        <v>113.2195107913669</v>
      </c>
      <c r="AN91" s="576">
        <f t="shared" si="77"/>
        <v>113.2195107913669</v>
      </c>
      <c r="AO91" s="576">
        <f t="shared" si="77"/>
        <v>113.2195107913669</v>
      </c>
      <c r="AP91" s="576">
        <f t="shared" si="77"/>
        <v>113.2195107913669</v>
      </c>
      <c r="AQ91" s="576">
        <f t="shared" si="77"/>
        <v>113.2195107913669</v>
      </c>
      <c r="AR91" s="576">
        <f t="shared" si="77"/>
        <v>113.2195107913669</v>
      </c>
      <c r="AS91" s="576">
        <f t="shared" si="77"/>
        <v>113.2195107913669</v>
      </c>
      <c r="AT91" s="576">
        <f t="shared" si="77"/>
        <v>113.2195107913669</v>
      </c>
      <c r="AU91" s="576">
        <f t="shared" si="77"/>
        <v>113.2195107913669</v>
      </c>
      <c r="AV91" s="576">
        <f t="shared" si="77"/>
        <v>113.2195107913669</v>
      </c>
      <c r="AW91" s="576">
        <f t="shared" si="77"/>
        <v>113.2195107913669</v>
      </c>
      <c r="AX91" s="576">
        <f t="shared" si="77"/>
        <v>113.2195107913669</v>
      </c>
      <c r="AY91" s="576">
        <f t="shared" si="77"/>
        <v>113.2195107913669</v>
      </c>
      <c r="AZ91" s="576">
        <f t="shared" si="77"/>
        <v>113.2195107913669</v>
      </c>
      <c r="BA91" s="576">
        <f t="shared" si="77"/>
        <v>113.2195107913669</v>
      </c>
      <c r="BB91" s="576">
        <f t="shared" si="77"/>
        <v>113.2195107913669</v>
      </c>
      <c r="BC91" s="576">
        <f t="shared" si="77"/>
        <v>113.2195107913669</v>
      </c>
      <c r="BD91" s="576">
        <f t="shared" si="77"/>
        <v>113.2195107913669</v>
      </c>
      <c r="BE91" s="576">
        <f t="shared" si="77"/>
        <v>113.2195107913669</v>
      </c>
      <c r="BF91" s="576">
        <f t="shared" si="77"/>
        <v>113.2195107913669</v>
      </c>
      <c r="BG91" s="576">
        <f>SUMIF($C$4:$C$70,$J91,BG$4:BG$70)</f>
        <v>113.2195107913669</v>
      </c>
      <c r="BH91" s="576">
        <f t="shared" si="78"/>
        <v>113.2195107913669</v>
      </c>
      <c r="BI91" s="576">
        <f t="shared" si="78"/>
        <v>113.2195107913669</v>
      </c>
      <c r="BJ91" s="576">
        <f t="shared" si="78"/>
        <v>113.2195107913669</v>
      </c>
      <c r="BK91" s="576">
        <f t="shared" si="78"/>
        <v>113.2195107913669</v>
      </c>
      <c r="BL91" s="576">
        <f t="shared" si="78"/>
        <v>113.2195107913669</v>
      </c>
      <c r="BM91" s="576">
        <f t="shared" si="78"/>
        <v>113.2195107913669</v>
      </c>
      <c r="BN91" s="576">
        <f t="shared" si="78"/>
        <v>113.2195107913669</v>
      </c>
      <c r="BO91" s="576">
        <f t="shared" si="78"/>
        <v>113.2195107913669</v>
      </c>
      <c r="BP91" s="576">
        <f t="shared" si="75"/>
        <v>113.2195107913669</v>
      </c>
      <c r="BQ91" s="576">
        <f t="shared" si="75"/>
        <v>113.2195107913669</v>
      </c>
      <c r="BR91" s="576">
        <f t="shared" si="75"/>
        <v>113.2195107913669</v>
      </c>
      <c r="BS91" s="576">
        <f t="shared" si="75"/>
        <v>113.2195107913669</v>
      </c>
      <c r="BT91" s="576">
        <f t="shared" si="75"/>
        <v>113.2195107913669</v>
      </c>
      <c r="BU91" s="576">
        <f t="shared" si="75"/>
        <v>113.2195107913669</v>
      </c>
      <c r="BV91" s="576">
        <f t="shared" si="75"/>
        <v>113.2195107913669</v>
      </c>
      <c r="BW91" s="576">
        <f t="shared" si="75"/>
        <v>113.2195107913669</v>
      </c>
      <c r="BX91" s="576">
        <f t="shared" si="75"/>
        <v>113.2195107913669</v>
      </c>
      <c r="BY91" s="576">
        <f t="shared" si="75"/>
        <v>113.2195107913669</v>
      </c>
      <c r="BZ91" s="576">
        <f t="shared" si="75"/>
        <v>113.2195107913669</v>
      </c>
      <c r="CA91" s="576">
        <f t="shared" si="75"/>
        <v>113.2195107913669</v>
      </c>
      <c r="CB91" s="576">
        <f t="shared" si="75"/>
        <v>113.2195107913669</v>
      </c>
      <c r="CC91" s="576">
        <f t="shared" si="75"/>
        <v>113.2195107913669</v>
      </c>
      <c r="CD91" s="576">
        <f t="shared" si="75"/>
        <v>113.2195107913669</v>
      </c>
      <c r="CE91" s="576">
        <f t="shared" si="75"/>
        <v>113.2195107913669</v>
      </c>
      <c r="CF91" s="576">
        <f t="shared" si="75"/>
        <v>113.2195107913669</v>
      </c>
      <c r="CG91" s="576">
        <f t="shared" si="75"/>
        <v>113.2195107913669</v>
      </c>
      <c r="CH91" s="576">
        <f t="shared" si="75"/>
        <v>113.2195107913669</v>
      </c>
      <c r="CI91" s="576">
        <f t="shared" si="75"/>
        <v>113.2195107913669</v>
      </c>
      <c r="CJ91" s="576">
        <f t="shared" si="75"/>
        <v>113.2195107913669</v>
      </c>
      <c r="CK91" s="576">
        <f t="shared" si="75"/>
        <v>113.22</v>
      </c>
      <c r="CL91" s="576">
        <f t="shared" si="75"/>
        <v>113.22</v>
      </c>
      <c r="CM91" s="576">
        <f t="shared" si="79"/>
        <v>113.22</v>
      </c>
      <c r="CN91" s="576">
        <f t="shared" si="79"/>
        <v>113.22</v>
      </c>
      <c r="CO91" s="576">
        <f t="shared" si="79"/>
        <v>113.22</v>
      </c>
      <c r="CP91" s="576">
        <f t="shared" si="79"/>
        <v>113.22</v>
      </c>
      <c r="CQ91" s="295" t="s">
        <v>212</v>
      </c>
    </row>
    <row r="92" spans="9:95" x14ac:dyDescent="0.25">
      <c r="I92" s="295" t="s">
        <v>169</v>
      </c>
      <c r="J92" s="403">
        <v>10569</v>
      </c>
      <c r="K92" s="404" t="s">
        <v>428</v>
      </c>
      <c r="L92" s="405">
        <f t="shared" si="73"/>
        <v>457.29461870503536</v>
      </c>
      <c r="M92" s="405">
        <f t="shared" si="73"/>
        <v>457.29461870503536</v>
      </c>
      <c r="N92" s="405">
        <f t="shared" si="73"/>
        <v>421.52497748897599</v>
      </c>
      <c r="O92" s="406">
        <f t="shared" si="73"/>
        <v>262.28952425156615</v>
      </c>
      <c r="P92" s="405">
        <f t="shared" si="73"/>
        <v>223.75326618705014</v>
      </c>
      <c r="Q92" s="405">
        <f t="shared" si="73"/>
        <v>223.75326618705014</v>
      </c>
      <c r="R92" s="405">
        <f t="shared" si="73"/>
        <v>223.75326618705014</v>
      </c>
      <c r="S92" s="405">
        <f t="shared" si="73"/>
        <v>223.75326618705014</v>
      </c>
      <c r="T92" s="575">
        <f t="shared" si="73"/>
        <v>223.75326618705014</v>
      </c>
      <c r="U92" s="575">
        <f t="shared" si="73"/>
        <v>223.75326618705014</v>
      </c>
      <c r="V92" s="461">
        <f t="shared" si="73"/>
        <v>223.75326618705014</v>
      </c>
      <c r="W92" s="461">
        <f t="shared" si="73"/>
        <v>223.75326618705014</v>
      </c>
      <c r="X92" s="461">
        <f t="shared" si="73"/>
        <v>223.75326618705014</v>
      </c>
      <c r="Y92" s="461">
        <f t="shared" si="73"/>
        <v>146.00363165467601</v>
      </c>
      <c r="Z92" s="461">
        <f t="shared" si="73"/>
        <v>112.68235971222995</v>
      </c>
      <c r="AA92" s="461">
        <f t="shared" si="73"/>
        <v>112.68235971222995</v>
      </c>
      <c r="AB92" s="461">
        <f t="shared" si="73"/>
        <v>112.68235971222995</v>
      </c>
      <c r="AC92" s="461">
        <f t="shared" si="73"/>
        <v>112.68235971222995</v>
      </c>
      <c r="AD92" s="461">
        <f t="shared" si="73"/>
        <v>112.68235971222995</v>
      </c>
      <c r="AE92" s="461">
        <f t="shared" si="73"/>
        <v>112.68235971222995</v>
      </c>
      <c r="AF92" s="461">
        <f t="shared" si="73"/>
        <v>112.68235971222995</v>
      </c>
      <c r="AG92" s="461">
        <f t="shared" si="73"/>
        <v>112.68235971222995</v>
      </c>
      <c r="AH92" s="576">
        <f t="shared" si="77"/>
        <v>112.68235971222995</v>
      </c>
      <c r="AI92" s="576">
        <f t="shared" si="77"/>
        <v>112.68235971222995</v>
      </c>
      <c r="AJ92" s="576">
        <f t="shared" si="77"/>
        <v>112.68235971222995</v>
      </c>
      <c r="AK92" s="576">
        <f t="shared" si="77"/>
        <v>112.68235971222995</v>
      </c>
      <c r="AL92" s="576">
        <f t="shared" si="77"/>
        <v>112.68235971222995</v>
      </c>
      <c r="AM92" s="576">
        <f t="shared" si="77"/>
        <v>112.68235971222995</v>
      </c>
      <c r="AN92" s="576">
        <f t="shared" si="77"/>
        <v>112.68235971222995</v>
      </c>
      <c r="AO92" s="576">
        <f t="shared" si="77"/>
        <v>112.68235971222995</v>
      </c>
      <c r="AP92" s="576">
        <f t="shared" si="77"/>
        <v>112.68235971222995</v>
      </c>
      <c r="AQ92" s="576">
        <f t="shared" si="77"/>
        <v>112.68235971222995</v>
      </c>
      <c r="AR92" s="576">
        <f t="shared" si="77"/>
        <v>112.68235971222995</v>
      </c>
      <c r="AS92" s="576">
        <f t="shared" si="77"/>
        <v>112.68235971222995</v>
      </c>
      <c r="AT92" s="576">
        <f t="shared" si="77"/>
        <v>112.68235971222995</v>
      </c>
      <c r="AU92" s="576">
        <f t="shared" si="77"/>
        <v>112.68235971222995</v>
      </c>
      <c r="AV92" s="576">
        <f t="shared" si="77"/>
        <v>112.68235971222995</v>
      </c>
      <c r="AW92" s="576">
        <f t="shared" si="77"/>
        <v>112.68235971222995</v>
      </c>
      <c r="AX92" s="576">
        <f t="shared" si="77"/>
        <v>112.68235971222995</v>
      </c>
      <c r="AY92" s="576">
        <f t="shared" si="77"/>
        <v>112.68235971222995</v>
      </c>
      <c r="AZ92" s="576">
        <f t="shared" si="77"/>
        <v>112.68235971222995</v>
      </c>
      <c r="BA92" s="576">
        <f t="shared" si="77"/>
        <v>112.68235971222995</v>
      </c>
      <c r="BB92" s="576">
        <f t="shared" si="77"/>
        <v>112.68235971222995</v>
      </c>
      <c r="BC92" s="576">
        <f t="shared" si="77"/>
        <v>112.68235971222995</v>
      </c>
      <c r="BD92" s="576">
        <f t="shared" si="77"/>
        <v>112.68235971222995</v>
      </c>
      <c r="BE92" s="576">
        <f t="shared" si="77"/>
        <v>112.68235971222995</v>
      </c>
      <c r="BF92" s="576">
        <f t="shared" si="77"/>
        <v>112.68235971222995</v>
      </c>
      <c r="BG92" s="576">
        <f>SUMIF($C$4:$C$70,$J92,BG$4:BG$70)</f>
        <v>112.68235971222995</v>
      </c>
      <c r="BH92" s="576">
        <f t="shared" si="78"/>
        <v>112.68235971222995</v>
      </c>
      <c r="BI92" s="576">
        <f t="shared" si="78"/>
        <v>112.68235971222995</v>
      </c>
      <c r="BJ92" s="576">
        <f t="shared" si="78"/>
        <v>112.68235971222995</v>
      </c>
      <c r="BK92" s="576">
        <f t="shared" si="78"/>
        <v>112.68235971222995</v>
      </c>
      <c r="BL92" s="576">
        <f t="shared" si="78"/>
        <v>112.68235971222995</v>
      </c>
      <c r="BM92" s="576">
        <f t="shared" si="78"/>
        <v>112.68235971222995</v>
      </c>
      <c r="BN92" s="576">
        <f t="shared" si="78"/>
        <v>112.68235971222995</v>
      </c>
      <c r="BO92" s="576">
        <f t="shared" si="78"/>
        <v>112.68235971222995</v>
      </c>
      <c r="BP92" s="576">
        <f t="shared" si="75"/>
        <v>112.68235971222995</v>
      </c>
      <c r="BQ92" s="576">
        <f t="shared" si="75"/>
        <v>112.68235971222995</v>
      </c>
      <c r="BR92" s="576">
        <f t="shared" si="75"/>
        <v>112.68235971222995</v>
      </c>
      <c r="BS92" s="576">
        <f t="shared" si="75"/>
        <v>112.68235971222995</v>
      </c>
      <c r="BT92" s="576">
        <f t="shared" si="75"/>
        <v>112.68235971222995</v>
      </c>
      <c r="BU92" s="576">
        <f t="shared" si="75"/>
        <v>112.68235971222995</v>
      </c>
      <c r="BV92" s="576">
        <f t="shared" si="75"/>
        <v>112.68235971222995</v>
      </c>
      <c r="BW92" s="576">
        <f t="shared" si="75"/>
        <v>112.68235971222995</v>
      </c>
      <c r="BX92" s="576">
        <f t="shared" si="75"/>
        <v>112.68235971222995</v>
      </c>
      <c r="BY92" s="576">
        <f t="shared" si="75"/>
        <v>112.68235971222995</v>
      </c>
      <c r="BZ92" s="576">
        <f t="shared" si="75"/>
        <v>112.68235971222995</v>
      </c>
      <c r="CA92" s="576">
        <f t="shared" si="75"/>
        <v>112.68235971222995</v>
      </c>
      <c r="CB92" s="576">
        <f t="shared" si="75"/>
        <v>112.68235971222995</v>
      </c>
      <c r="CC92" s="576">
        <f t="shared" si="75"/>
        <v>112.68235971222995</v>
      </c>
      <c r="CD92" s="576">
        <f t="shared" si="75"/>
        <v>112.68235971222995</v>
      </c>
      <c r="CE92" s="576">
        <f t="shared" si="75"/>
        <v>112.68235971222995</v>
      </c>
      <c r="CF92" s="576">
        <f t="shared" si="75"/>
        <v>112.68235971222995</v>
      </c>
      <c r="CG92" s="576">
        <f t="shared" si="75"/>
        <v>112.68235971222995</v>
      </c>
      <c r="CH92" s="576">
        <f t="shared" si="75"/>
        <v>112.68235971222995</v>
      </c>
      <c r="CI92" s="576">
        <f t="shared" si="75"/>
        <v>112.68235971222995</v>
      </c>
      <c r="CJ92" s="576">
        <f t="shared" si="75"/>
        <v>112.68235971222995</v>
      </c>
      <c r="CK92" s="576">
        <f t="shared" si="75"/>
        <v>0</v>
      </c>
      <c r="CL92" s="576">
        <f t="shared" si="75"/>
        <v>0</v>
      </c>
      <c r="CM92" s="576">
        <f t="shared" si="79"/>
        <v>0</v>
      </c>
      <c r="CN92" s="576">
        <f t="shared" si="79"/>
        <v>0</v>
      </c>
      <c r="CO92" s="576">
        <f t="shared" si="79"/>
        <v>0</v>
      </c>
      <c r="CP92" s="576">
        <f t="shared" si="79"/>
        <v>0</v>
      </c>
      <c r="CQ92" s="295" t="s">
        <v>169</v>
      </c>
    </row>
    <row r="93" spans="9:95" x14ac:dyDescent="0.25">
      <c r="I93" s="295" t="s">
        <v>224</v>
      </c>
      <c r="J93" s="403">
        <v>10570</v>
      </c>
      <c r="K93" s="404" t="s">
        <v>405</v>
      </c>
      <c r="L93" s="405">
        <f t="shared" si="73"/>
        <v>399.87913669064727</v>
      </c>
      <c r="M93" s="405">
        <f t="shared" si="73"/>
        <v>399.87913669064727</v>
      </c>
      <c r="N93" s="405">
        <f t="shared" si="73"/>
        <v>399.87913669064727</v>
      </c>
      <c r="O93" s="406">
        <f t="shared" si="73"/>
        <v>399.87913669064727</v>
      </c>
      <c r="P93" s="405">
        <f t="shared" si="73"/>
        <v>399.87913669064727</v>
      </c>
      <c r="Q93" s="405">
        <f t="shared" si="73"/>
        <v>324.74729542817363</v>
      </c>
      <c r="R93" s="405">
        <f t="shared" si="73"/>
        <v>270.48541007194262</v>
      </c>
      <c r="S93" s="405">
        <f t="shared" si="73"/>
        <v>270.48541007194262</v>
      </c>
      <c r="T93" s="575">
        <f t="shared" si="73"/>
        <v>270.48541007194262</v>
      </c>
      <c r="U93" s="575">
        <f t="shared" si="73"/>
        <v>270.48541007194262</v>
      </c>
      <c r="V93" s="461">
        <f t="shared" si="73"/>
        <v>270.48541007194262</v>
      </c>
      <c r="W93" s="461">
        <f t="shared" si="73"/>
        <v>212.44922014388501</v>
      </c>
      <c r="X93" s="461">
        <f t="shared" si="73"/>
        <v>112.20489208633099</v>
      </c>
      <c r="Y93" s="461">
        <f t="shared" si="73"/>
        <v>112.20489208633099</v>
      </c>
      <c r="Z93" s="461">
        <f t="shared" si="73"/>
        <v>112.20489208633099</v>
      </c>
      <c r="AA93" s="461">
        <f t="shared" ref="AA93:CP93" si="80">SUMIF($C$4:$C$70,$J93,AA$4:AA$70)</f>
        <v>112.20489208633099</v>
      </c>
      <c r="AB93" s="461">
        <f t="shared" si="80"/>
        <v>76.139033915724596</v>
      </c>
      <c r="AC93" s="461">
        <f t="shared" si="80"/>
        <v>0</v>
      </c>
      <c r="AD93" s="461">
        <f t="shared" si="80"/>
        <v>0</v>
      </c>
      <c r="AE93" s="461">
        <f t="shared" si="80"/>
        <v>0</v>
      </c>
      <c r="AF93" s="461">
        <f t="shared" si="80"/>
        <v>0</v>
      </c>
      <c r="AG93" s="461">
        <f t="shared" si="80"/>
        <v>0</v>
      </c>
      <c r="AH93" s="576">
        <f t="shared" si="80"/>
        <v>0</v>
      </c>
      <c r="AI93" s="576">
        <f t="shared" si="80"/>
        <v>0</v>
      </c>
      <c r="AJ93" s="576">
        <f t="shared" si="80"/>
        <v>0</v>
      </c>
      <c r="AK93" s="576">
        <f t="shared" si="80"/>
        <v>0</v>
      </c>
      <c r="AL93" s="576">
        <f t="shared" si="80"/>
        <v>0</v>
      </c>
      <c r="AM93" s="672">
        <f t="shared" si="80"/>
        <v>0</v>
      </c>
      <c r="AN93" s="672">
        <f t="shared" si="80"/>
        <v>0</v>
      </c>
      <c r="AO93" s="672">
        <f t="shared" si="80"/>
        <v>0</v>
      </c>
      <c r="AP93" s="672">
        <f t="shared" si="80"/>
        <v>0</v>
      </c>
      <c r="AQ93" s="672">
        <f t="shared" si="80"/>
        <v>0</v>
      </c>
      <c r="AR93" s="672">
        <f t="shared" si="80"/>
        <v>0</v>
      </c>
      <c r="AS93" s="672">
        <f t="shared" si="80"/>
        <v>0</v>
      </c>
      <c r="AT93" s="672">
        <f t="shared" si="80"/>
        <v>0</v>
      </c>
      <c r="AU93" s="672">
        <f t="shared" si="80"/>
        <v>0</v>
      </c>
      <c r="AV93" s="672">
        <f t="shared" si="80"/>
        <v>0</v>
      </c>
      <c r="AW93" s="672">
        <f t="shared" si="80"/>
        <v>0</v>
      </c>
      <c r="AX93" s="672">
        <f t="shared" si="80"/>
        <v>0</v>
      </c>
      <c r="AY93" s="672">
        <f t="shared" si="80"/>
        <v>0</v>
      </c>
      <c r="AZ93" s="672">
        <f t="shared" si="80"/>
        <v>0</v>
      </c>
      <c r="BA93" s="672">
        <f t="shared" si="80"/>
        <v>0</v>
      </c>
      <c r="BB93" s="672">
        <f t="shared" si="80"/>
        <v>0</v>
      </c>
      <c r="BC93" s="672">
        <f t="shared" si="80"/>
        <v>0</v>
      </c>
      <c r="BD93" s="672">
        <f t="shared" si="80"/>
        <v>0</v>
      </c>
      <c r="BE93" s="672">
        <f t="shared" si="80"/>
        <v>0</v>
      </c>
      <c r="BF93" s="672">
        <f t="shared" si="80"/>
        <v>0</v>
      </c>
      <c r="BG93" s="672">
        <f t="shared" si="80"/>
        <v>0</v>
      </c>
      <c r="BH93" s="672">
        <f t="shared" si="80"/>
        <v>0</v>
      </c>
      <c r="BI93" s="672">
        <f t="shared" si="80"/>
        <v>0</v>
      </c>
      <c r="BJ93" s="672">
        <f t="shared" si="80"/>
        <v>0</v>
      </c>
      <c r="BK93" s="672">
        <f t="shared" si="80"/>
        <v>0</v>
      </c>
      <c r="BL93" s="672">
        <f t="shared" si="80"/>
        <v>0</v>
      </c>
      <c r="BM93" s="672">
        <f t="shared" si="80"/>
        <v>0</v>
      </c>
      <c r="BN93" s="672">
        <f t="shared" si="80"/>
        <v>0</v>
      </c>
      <c r="BO93" s="672">
        <f t="shared" si="80"/>
        <v>0</v>
      </c>
      <c r="BP93" s="672">
        <f t="shared" si="80"/>
        <v>0</v>
      </c>
      <c r="BQ93" s="672">
        <f t="shared" si="80"/>
        <v>0</v>
      </c>
      <c r="BR93" s="672">
        <f t="shared" si="80"/>
        <v>0</v>
      </c>
      <c r="BS93" s="672">
        <f t="shared" si="80"/>
        <v>0</v>
      </c>
      <c r="BT93" s="672">
        <f t="shared" si="80"/>
        <v>0</v>
      </c>
      <c r="BU93" s="672">
        <f t="shared" si="80"/>
        <v>0</v>
      </c>
      <c r="BV93" s="672">
        <f t="shared" si="80"/>
        <v>0</v>
      </c>
      <c r="BW93" s="672">
        <f t="shared" si="80"/>
        <v>0</v>
      </c>
      <c r="BX93" s="672">
        <f t="shared" si="80"/>
        <v>0</v>
      </c>
      <c r="BY93" s="672">
        <f t="shared" si="80"/>
        <v>0</v>
      </c>
      <c r="BZ93" s="672">
        <f t="shared" si="80"/>
        <v>0</v>
      </c>
      <c r="CA93" s="672">
        <f t="shared" si="80"/>
        <v>0</v>
      </c>
      <c r="CB93" s="672">
        <f t="shared" si="80"/>
        <v>0</v>
      </c>
      <c r="CC93" s="672">
        <f t="shared" si="80"/>
        <v>0</v>
      </c>
      <c r="CD93" s="672">
        <f t="shared" si="80"/>
        <v>0</v>
      </c>
      <c r="CE93" s="672">
        <f t="shared" si="80"/>
        <v>0</v>
      </c>
      <c r="CF93" s="672">
        <f t="shared" si="80"/>
        <v>0</v>
      </c>
      <c r="CG93" s="672">
        <f t="shared" si="80"/>
        <v>0</v>
      </c>
      <c r="CH93" s="672">
        <f t="shared" si="80"/>
        <v>0</v>
      </c>
      <c r="CI93" s="672">
        <f t="shared" si="80"/>
        <v>0</v>
      </c>
      <c r="CJ93" s="672">
        <f t="shared" si="80"/>
        <v>0</v>
      </c>
      <c r="CK93" s="672">
        <f t="shared" si="80"/>
        <v>0</v>
      </c>
      <c r="CL93" s="672">
        <f t="shared" si="80"/>
        <v>0</v>
      </c>
      <c r="CM93" s="672">
        <f t="shared" si="80"/>
        <v>0</v>
      </c>
      <c r="CN93" s="672">
        <f t="shared" si="80"/>
        <v>0</v>
      </c>
      <c r="CO93" s="672">
        <f t="shared" si="80"/>
        <v>0</v>
      </c>
      <c r="CP93" s="672">
        <f t="shared" si="80"/>
        <v>0</v>
      </c>
      <c r="CQ93" s="295" t="s">
        <v>224</v>
      </c>
    </row>
    <row r="94" spans="9:95" ht="12.6" thickBot="1" x14ac:dyDescent="0.3">
      <c r="J94" s="313"/>
      <c r="K94" s="314"/>
      <c r="L94" s="408">
        <f>SUM(L82:L93)</f>
        <v>7924.655329774886</v>
      </c>
      <c r="M94" s="409">
        <f>SUM(M82:M93)</f>
        <v>7434.0276949640247</v>
      </c>
      <c r="N94" s="409">
        <f>SUM(N82:N93)</f>
        <v>6815.92737061963</v>
      </c>
      <c r="O94" s="409">
        <f>SUM(O82:O93)</f>
        <v>5861.2520306335546</v>
      </c>
      <c r="P94" s="410">
        <f>SUM(P82:P93)</f>
        <v>5208.3511510791341</v>
      </c>
      <c r="Q94" s="410">
        <f t="shared" ref="Q94:AE94" si="81">SUM(Q82:Q93)</f>
        <v>5075.848590392201</v>
      </c>
      <c r="R94" s="410">
        <f t="shared" si="81"/>
        <v>4929.8353323740994</v>
      </c>
      <c r="S94" s="410">
        <f t="shared" si="81"/>
        <v>4737.1661712694349</v>
      </c>
      <c r="T94" s="462">
        <f t="shared" si="81"/>
        <v>4639.290313669062</v>
      </c>
      <c r="U94" s="462">
        <f t="shared" si="81"/>
        <v>4608.7235293571575</v>
      </c>
      <c r="V94" s="462">
        <f t="shared" si="81"/>
        <v>4598.9681726618692</v>
      </c>
      <c r="W94" s="462">
        <f t="shared" si="81"/>
        <v>4445.9397985611495</v>
      </c>
      <c r="X94" s="462">
        <f t="shared" si="81"/>
        <v>4213.4727482014368</v>
      </c>
      <c r="Y94" s="462">
        <f t="shared" si="81"/>
        <v>4135.7231136690634</v>
      </c>
      <c r="Z94" s="462">
        <f t="shared" si="81"/>
        <v>4102.401841726617</v>
      </c>
      <c r="AA94" s="462">
        <f t="shared" si="81"/>
        <v>3988.9686256672057</v>
      </c>
      <c r="AB94" s="462">
        <f t="shared" si="81"/>
        <v>3829.3329907502548</v>
      </c>
      <c r="AC94" s="462">
        <f t="shared" si="81"/>
        <v>3519.6198746808991</v>
      </c>
      <c r="AD94" s="462">
        <f t="shared" si="81"/>
        <v>3304.4559558752985</v>
      </c>
      <c r="AE94" s="462">
        <f t="shared" si="81"/>
        <v>3306.2996611742856</v>
      </c>
      <c r="AF94" s="462">
        <f t="shared" ref="AF94:AL94" si="82">SUM(AF82:AF93)</f>
        <v>3257.5228776978406</v>
      </c>
      <c r="AG94" s="462">
        <f t="shared" si="82"/>
        <v>3257.5228776978406</v>
      </c>
      <c r="AH94" s="577">
        <f t="shared" si="82"/>
        <v>3144.8405179856104</v>
      </c>
      <c r="AI94" s="578">
        <f t="shared" si="82"/>
        <v>3044.0351654676247</v>
      </c>
      <c r="AJ94" s="578">
        <f t="shared" si="82"/>
        <v>3044.0351654676247</v>
      </c>
      <c r="AK94" s="578">
        <f t="shared" si="82"/>
        <v>3044.0351654676247</v>
      </c>
      <c r="AL94" s="578">
        <f t="shared" si="82"/>
        <v>2931.8302733812939</v>
      </c>
      <c r="AM94" s="577">
        <f t="shared" ref="AM94:AR94" si="83">SUM(AM82:AM93)</f>
        <v>2931.8302733812939</v>
      </c>
      <c r="AN94" s="577">
        <f t="shared" si="83"/>
        <v>2931.8302733812939</v>
      </c>
      <c r="AO94" s="577">
        <f t="shared" si="83"/>
        <v>2931.8302733812939</v>
      </c>
      <c r="AP94" s="577">
        <f t="shared" si="83"/>
        <v>2729.8614676258985</v>
      </c>
      <c r="AQ94" s="577">
        <f t="shared" si="83"/>
        <v>2729.8614676258985</v>
      </c>
      <c r="AR94" s="577">
        <f t="shared" si="83"/>
        <v>2729.8614676258985</v>
      </c>
      <c r="AS94" s="577">
        <f t="shared" ref="AS94:BY94" si="84">SUM(AS82:AS93)</f>
        <v>2587.0389640287767</v>
      </c>
      <c r="AT94" s="577">
        <f t="shared" si="84"/>
        <v>2587.0389640287767</v>
      </c>
      <c r="AU94" s="577">
        <f t="shared" si="84"/>
        <v>2587.0389640287767</v>
      </c>
      <c r="AV94" s="577">
        <f t="shared" si="84"/>
        <v>2587.0389640287767</v>
      </c>
      <c r="AW94" s="577">
        <f t="shared" si="84"/>
        <v>2587.0389640287767</v>
      </c>
      <c r="AX94" s="577">
        <f t="shared" si="84"/>
        <v>2587.0389640287767</v>
      </c>
      <c r="AY94" s="577">
        <f t="shared" si="84"/>
        <v>2587.0389640287767</v>
      </c>
      <c r="AZ94" s="577">
        <f t="shared" si="84"/>
        <v>2587.0389640287767</v>
      </c>
      <c r="BA94" s="577">
        <f t="shared" si="84"/>
        <v>2587.0389640287767</v>
      </c>
      <c r="BB94" s="577">
        <f t="shared" si="84"/>
        <v>2587.0389640287767</v>
      </c>
      <c r="BC94" s="577">
        <f t="shared" si="84"/>
        <v>2587.0389640287767</v>
      </c>
      <c r="BD94" s="577">
        <f t="shared" si="84"/>
        <v>2587.0389640287767</v>
      </c>
      <c r="BE94" s="577">
        <f t="shared" si="84"/>
        <v>2587.0389640287767</v>
      </c>
      <c r="BF94" s="577">
        <f t="shared" si="84"/>
        <v>2587.0389640287767</v>
      </c>
      <c r="BG94" s="577">
        <f t="shared" si="84"/>
        <v>2587.0389640287767</v>
      </c>
      <c r="BH94" s="577">
        <f t="shared" si="84"/>
        <v>2587.0389640287767</v>
      </c>
      <c r="BI94" s="577">
        <f t="shared" si="84"/>
        <v>2587.0389640287767</v>
      </c>
      <c r="BJ94" s="577">
        <f t="shared" si="84"/>
        <v>2587.0389640287767</v>
      </c>
      <c r="BK94" s="577">
        <f t="shared" si="84"/>
        <v>2587.0389640287767</v>
      </c>
      <c r="BL94" s="577">
        <f t="shared" si="84"/>
        <v>2587.0389640287767</v>
      </c>
      <c r="BM94" s="577">
        <f t="shared" si="84"/>
        <v>2462.1811798561139</v>
      </c>
      <c r="BN94" s="577">
        <f t="shared" si="84"/>
        <v>2462.1811798561139</v>
      </c>
      <c r="BO94" s="577">
        <f t="shared" si="84"/>
        <v>2462.1811798561139</v>
      </c>
      <c r="BP94" s="577">
        <f t="shared" si="84"/>
        <v>2462.1811798561139</v>
      </c>
      <c r="BQ94" s="577">
        <f t="shared" si="84"/>
        <v>2462.1811798561139</v>
      </c>
      <c r="BR94" s="577">
        <f t="shared" si="84"/>
        <v>2462.1811798561139</v>
      </c>
      <c r="BS94" s="577">
        <f t="shared" si="84"/>
        <v>2462.1811798561139</v>
      </c>
      <c r="BT94" s="577">
        <f t="shared" si="84"/>
        <v>2462.1811798561139</v>
      </c>
      <c r="BU94" s="577">
        <f t="shared" si="84"/>
        <v>2462.1811798561139</v>
      </c>
      <c r="BV94" s="577">
        <f t="shared" si="84"/>
        <v>2462.1811798561139</v>
      </c>
      <c r="BW94" s="577">
        <f t="shared" si="84"/>
        <v>2462.1811798561139</v>
      </c>
      <c r="BX94" s="577">
        <f t="shared" si="84"/>
        <v>2462.1811798561139</v>
      </c>
      <c r="BY94" s="577">
        <f t="shared" si="84"/>
        <v>2462.1811798561139</v>
      </c>
      <c r="BZ94" s="577">
        <f t="shared" ref="BZ94:CK94" si="85">SUM(BZ82:BZ93)</f>
        <v>2462.1811798561139</v>
      </c>
      <c r="CA94" s="577">
        <f t="shared" si="85"/>
        <v>2462.1811798561139</v>
      </c>
      <c r="CB94" s="577">
        <f t="shared" si="85"/>
        <v>2329.5048633093511</v>
      </c>
      <c r="CC94" s="577">
        <f t="shared" si="85"/>
        <v>2329.5048633093511</v>
      </c>
      <c r="CD94" s="577">
        <f t="shared" si="85"/>
        <v>2329.5048633093511</v>
      </c>
      <c r="CE94" s="577">
        <f t="shared" si="85"/>
        <v>2136.1276690647474</v>
      </c>
      <c r="CF94" s="577">
        <f t="shared" si="85"/>
        <v>2232.817669064747</v>
      </c>
      <c r="CG94" s="577">
        <f t="shared" si="85"/>
        <v>2232.817669064747</v>
      </c>
      <c r="CH94" s="577">
        <f t="shared" si="85"/>
        <v>2232.817669064747</v>
      </c>
      <c r="CI94" s="577">
        <f t="shared" si="85"/>
        <v>2232.817669064747</v>
      </c>
      <c r="CJ94" s="577">
        <f t="shared" si="85"/>
        <v>2232.817669064747</v>
      </c>
      <c r="CK94" s="577">
        <f t="shared" si="85"/>
        <v>717.15</v>
      </c>
      <c r="CL94" s="577">
        <f t="shared" ref="CL94:CM94" si="86">SUM(CL82:CL93)</f>
        <v>717.15</v>
      </c>
      <c r="CM94" s="577">
        <f t="shared" si="86"/>
        <v>717.15</v>
      </c>
      <c r="CN94" s="577">
        <f t="shared" ref="CN94:CO94" si="87">SUM(CN82:CN93)</f>
        <v>717.15</v>
      </c>
      <c r="CO94" s="577">
        <f t="shared" si="87"/>
        <v>717.15</v>
      </c>
      <c r="CP94" s="577">
        <f t="shared" ref="CP94" si="88">SUM(CP82:CP93)</f>
        <v>717.15</v>
      </c>
      <c r="CQ94" s="312"/>
    </row>
    <row r="95" spans="9:95" x14ac:dyDescent="0.25">
      <c r="AH95" s="579"/>
      <c r="AI95" s="579"/>
      <c r="AJ95" s="579"/>
      <c r="AK95" s="579"/>
      <c r="AL95" s="579"/>
      <c r="AM95" s="579"/>
      <c r="AN95" s="579"/>
      <c r="AO95" s="579"/>
      <c r="AP95" s="579"/>
      <c r="AQ95" s="579"/>
      <c r="AR95" s="579"/>
      <c r="AS95" s="579"/>
      <c r="AT95" s="579"/>
      <c r="AU95" s="579"/>
      <c r="AV95" s="579"/>
      <c r="AW95" s="579"/>
      <c r="AX95" s="579"/>
      <c r="AY95" s="579"/>
      <c r="AZ95" s="579"/>
      <c r="BA95" s="579"/>
      <c r="BB95" s="579"/>
      <c r="BC95" s="579"/>
      <c r="BD95" s="579"/>
      <c r="BE95" s="579"/>
      <c r="BF95" s="579"/>
      <c r="BG95" s="579"/>
      <c r="BH95" s="579"/>
      <c r="BI95" s="579"/>
      <c r="BJ95" s="579"/>
      <c r="BK95" s="579"/>
      <c r="BL95" s="579"/>
      <c r="BM95" s="579"/>
      <c r="BN95" s="579"/>
      <c r="BO95" s="579"/>
      <c r="BP95" s="579"/>
      <c r="BQ95" s="579"/>
      <c r="BR95" s="579"/>
      <c r="BS95" s="579"/>
      <c r="BT95" s="579"/>
      <c r="BU95" s="579"/>
      <c r="BV95" s="579"/>
      <c r="BW95" s="579"/>
      <c r="BX95" s="579"/>
      <c r="BY95" s="579"/>
      <c r="BZ95" s="579"/>
      <c r="CA95" s="579"/>
      <c r="CB95" s="579"/>
      <c r="CC95" s="579"/>
      <c r="CD95" s="579"/>
      <c r="CE95" s="579"/>
      <c r="CF95" s="579"/>
      <c r="CG95" s="579"/>
      <c r="CH95" s="579"/>
      <c r="CI95" s="579"/>
      <c r="CJ95" s="579"/>
      <c r="CK95" s="579"/>
      <c r="CL95" s="579"/>
      <c r="CM95" s="579"/>
      <c r="CN95" s="579"/>
      <c r="CO95" s="579"/>
      <c r="CP95" s="579"/>
    </row>
    <row r="96" spans="9:95" x14ac:dyDescent="0.25">
      <c r="U96" s="315"/>
      <c r="V96" s="315"/>
      <c r="W96" s="315"/>
      <c r="X96" s="315"/>
      <c r="Y96" s="315"/>
      <c r="Z96" s="315"/>
      <c r="AA96" s="315"/>
      <c r="AB96" s="315"/>
      <c r="AC96" s="315"/>
    </row>
  </sheetData>
  <mergeCells count="2">
    <mergeCell ref="L1:U1"/>
    <mergeCell ref="J80:AF80"/>
  </mergeCells>
  <phoneticPr fontId="92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showGridLines="0" topLeftCell="A22" zoomScaleNormal="100" workbookViewId="0">
      <selection activeCell="G9" sqref="G9"/>
    </sheetView>
  </sheetViews>
  <sheetFormatPr defaultRowHeight="14.4" x14ac:dyDescent="0.3"/>
  <cols>
    <col min="1" max="1" width="15.44140625" customWidth="1"/>
    <col min="2" max="2" width="48.5546875" customWidth="1"/>
    <col min="3" max="3" width="17.5546875" hidden="1" customWidth="1"/>
    <col min="4" max="4" width="16.5546875" hidden="1" customWidth="1"/>
    <col min="5" max="5" width="10.5546875" hidden="1" customWidth="1"/>
    <col min="6" max="6" width="19.109375" customWidth="1"/>
    <col min="7" max="7" width="5.44140625" customWidth="1"/>
    <col min="8" max="8" width="14" customWidth="1"/>
    <col min="9" max="9" width="16.5546875" customWidth="1"/>
    <col min="11" max="11" width="11.109375" bestFit="1" customWidth="1"/>
  </cols>
  <sheetData>
    <row r="1" spans="1:11" x14ac:dyDescent="0.3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4" x14ac:dyDescent="0.45">
      <c r="A2" s="92"/>
      <c r="B2" s="93" t="s">
        <v>120</v>
      </c>
      <c r="C2" s="92"/>
      <c r="D2" s="92"/>
      <c r="E2" s="92"/>
      <c r="F2" s="92"/>
      <c r="G2" s="92"/>
      <c r="H2" s="94" t="s">
        <v>12</v>
      </c>
      <c r="I2" s="95">
        <f>'DOC Invoice'!J2</f>
        <v>11</v>
      </c>
    </row>
    <row r="3" spans="1:11" x14ac:dyDescent="0.3">
      <c r="A3" s="92"/>
      <c r="B3" s="92"/>
      <c r="C3" s="92"/>
      <c r="D3" s="92"/>
      <c r="E3" s="92"/>
      <c r="F3" s="92"/>
      <c r="G3" s="92"/>
      <c r="H3" s="92"/>
      <c r="I3" s="96">
        <f>'DOC Invoice'!J3+7</f>
        <v>45146</v>
      </c>
      <c r="K3" t="s">
        <v>130</v>
      </c>
    </row>
    <row r="4" spans="1:11" x14ac:dyDescent="0.3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45152</v>
      </c>
      <c r="K4" s="168" t="e">
        <f>F10+F15+F19+F21+F23+F24+F26+F28+F33</f>
        <v>#REF!</v>
      </c>
    </row>
    <row r="5" spans="1:11" ht="17.399999999999999" hidden="1" x14ac:dyDescent="0.3">
      <c r="A5" s="92"/>
      <c r="B5" s="92"/>
      <c r="C5" s="98"/>
      <c r="D5" s="98"/>
      <c r="E5" s="98"/>
      <c r="F5" s="98"/>
      <c r="G5" s="98"/>
      <c r="H5" s="98"/>
      <c r="I5" s="99"/>
    </row>
    <row r="6" spans="1:11" ht="18" x14ac:dyDescent="0.35">
      <c r="A6" s="100" t="str">
        <f>"Period Starting "&amp;TEXT(I3,"MMMM-DD-YYYY")&amp;" to "&amp;TEXT(I4,"MMMM-DD-YYYY")</f>
        <v>Period Starting August-08-2023 to August-14-2023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" thickBot="1" x14ac:dyDescent="0.35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5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" x14ac:dyDescent="0.35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" x14ac:dyDescent="0.35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" x14ac:dyDescent="0.35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" x14ac:dyDescent="0.35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" x14ac:dyDescent="0.35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" x14ac:dyDescent="0.35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" x14ac:dyDescent="0.35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" x14ac:dyDescent="0.35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" x14ac:dyDescent="0.35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" x14ac:dyDescent="0.35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" x14ac:dyDescent="0.35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" x14ac:dyDescent="0.35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" x14ac:dyDescent="0.35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" x14ac:dyDescent="0.35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" x14ac:dyDescent="0.35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" x14ac:dyDescent="0.35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" x14ac:dyDescent="0.35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" x14ac:dyDescent="0.35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" x14ac:dyDescent="0.35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" x14ac:dyDescent="0.35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" x14ac:dyDescent="0.35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" x14ac:dyDescent="0.35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" x14ac:dyDescent="0.35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" x14ac:dyDescent="0.35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" x14ac:dyDescent="0.35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" x14ac:dyDescent="0.35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3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" thickBot="1" x14ac:dyDescent="0.35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5.6" thickTop="1" thickBot="1" x14ac:dyDescent="0.35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3">
      <c r="B38" s="12"/>
      <c r="C38" s="13"/>
      <c r="D38" s="13"/>
      <c r="E38" s="13"/>
      <c r="F38" s="13"/>
      <c r="G38" s="13"/>
      <c r="H38" s="13"/>
      <c r="I38" s="13"/>
    </row>
    <row r="39" spans="1:9" ht="16.2" x14ac:dyDescent="0.3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3">
      <c r="B40" s="18"/>
      <c r="C40" s="19"/>
      <c r="D40" s="19"/>
      <c r="E40" s="19"/>
      <c r="F40" s="19"/>
      <c r="G40" s="19"/>
      <c r="H40" s="19"/>
      <c r="I40" s="19"/>
    </row>
    <row r="41" spans="1:9" x14ac:dyDescent="0.3">
      <c r="B41" s="4"/>
      <c r="C41" s="22"/>
      <c r="D41" s="23"/>
      <c r="E41" s="23"/>
      <c r="F41" s="23"/>
      <c r="G41" s="23"/>
      <c r="H41" s="23"/>
      <c r="I41" s="22"/>
    </row>
    <row r="42" spans="1:9" x14ac:dyDescent="0.3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 tint="-0.249977111117893"/>
    <pageSetUpPr fitToPage="1"/>
  </sheetPr>
  <dimension ref="A1:M46"/>
  <sheetViews>
    <sheetView zoomScale="85" zoomScaleNormal="85" workbookViewId="0">
      <selection activeCell="D3" sqref="D3"/>
    </sheetView>
  </sheetViews>
  <sheetFormatPr defaultRowHeight="14.4" x14ac:dyDescent="0.3"/>
  <cols>
    <col min="1" max="1" width="13.44140625" bestFit="1" customWidth="1"/>
    <col min="2" max="2" width="24" bestFit="1" customWidth="1"/>
    <col min="3" max="3" width="13.44140625" customWidth="1"/>
    <col min="4" max="4" width="11.44140625" customWidth="1"/>
    <col min="5" max="7" width="10.5546875" bestFit="1" customWidth="1"/>
    <col min="8" max="8" width="10.109375" customWidth="1"/>
    <col min="9" max="9" width="9.88671875" style="622" bestFit="1" customWidth="1"/>
    <col min="11" max="11" width="13.44140625" bestFit="1" customWidth="1"/>
    <col min="12" max="12" width="11.109375" bestFit="1" customWidth="1"/>
    <col min="13" max="13" width="13.44140625" bestFit="1" customWidth="1"/>
  </cols>
  <sheetData>
    <row r="1" spans="1:13" s="233" customFormat="1" x14ac:dyDescent="0.3">
      <c r="A1" s="4"/>
      <c r="B1" s="231"/>
      <c r="C1" s="4"/>
      <c r="D1" s="4"/>
      <c r="E1" s="232"/>
      <c r="F1" s="232"/>
      <c r="G1" s="232"/>
      <c r="H1" s="232"/>
      <c r="I1" s="232"/>
    </row>
    <row r="2" spans="1:13" ht="59.25" customHeight="1" thickBot="1" x14ac:dyDescent="0.35">
      <c r="A2" s="411" t="s">
        <v>214</v>
      </c>
      <c r="B2" s="412" t="s">
        <v>215</v>
      </c>
      <c r="C2" s="411" t="s">
        <v>238</v>
      </c>
      <c r="D2" s="413" t="s">
        <v>696</v>
      </c>
      <c r="E2" s="414" t="s">
        <v>526</v>
      </c>
      <c r="F2" s="414" t="s">
        <v>527</v>
      </c>
      <c r="G2" s="415" t="s">
        <v>528</v>
      </c>
      <c r="H2" s="619" t="s">
        <v>529</v>
      </c>
      <c r="I2" s="414" t="s">
        <v>530</v>
      </c>
      <c r="J2" s="234"/>
    </row>
    <row r="3" spans="1:13" x14ac:dyDescent="0.3">
      <c r="A3" s="57" t="s">
        <v>171</v>
      </c>
      <c r="B3" s="243" t="s">
        <v>219</v>
      </c>
      <c r="C3" s="57">
        <v>103822</v>
      </c>
      <c r="D3" s="620">
        <v>0</v>
      </c>
      <c r="E3" s="244">
        <v>3920</v>
      </c>
      <c r="F3" s="244">
        <v>5488</v>
      </c>
      <c r="G3" s="246">
        <f>F3</f>
        <v>5488</v>
      </c>
      <c r="H3" s="621">
        <f>(G3/1.0425)-G3</f>
        <v>-223.73141486810528</v>
      </c>
      <c r="I3" s="246">
        <f>D3*(((SUM(G3:H3))/162.5)*1.5)</f>
        <v>0</v>
      </c>
      <c r="J3" s="622"/>
      <c r="K3" s="238"/>
      <c r="L3" s="239"/>
      <c r="M3" s="623" t="s">
        <v>240</v>
      </c>
    </row>
    <row r="4" spans="1:13" x14ac:dyDescent="0.3">
      <c r="A4" s="245" t="s">
        <v>171</v>
      </c>
      <c r="B4" s="243" t="s">
        <v>220</v>
      </c>
      <c r="C4" s="245">
        <v>104951</v>
      </c>
      <c r="D4" s="620"/>
      <c r="E4" s="244">
        <v>2442</v>
      </c>
      <c r="F4" s="246">
        <v>3419</v>
      </c>
      <c r="G4" s="246">
        <f>F4</f>
        <v>3419</v>
      </c>
      <c r="H4" s="621">
        <f t="shared" ref="H4:H12" si="0">(G4/1.0425)-G4</f>
        <v>-139.38369304556363</v>
      </c>
      <c r="I4" s="246">
        <f>D4*(((SUM(G4:H4))/162.5)*1.5)</f>
        <v>0</v>
      </c>
      <c r="J4" s="622"/>
      <c r="K4" s="240" t="s">
        <v>164</v>
      </c>
      <c r="L4" s="241" t="s">
        <v>137</v>
      </c>
      <c r="M4" s="624">
        <f t="shared" ref="M4:M15" si="1">SUMIF($A$3:$A$12, K4, $I$3:$I$12)</f>
        <v>0</v>
      </c>
    </row>
    <row r="5" spans="1:13" x14ac:dyDescent="0.3">
      <c r="A5" s="235" t="s">
        <v>165</v>
      </c>
      <c r="B5" s="236" t="s">
        <v>221</v>
      </c>
      <c r="C5" s="235">
        <v>79055</v>
      </c>
      <c r="D5" s="625"/>
      <c r="E5" s="237">
        <v>2985</v>
      </c>
      <c r="F5" s="237">
        <f>E5*1.4</f>
        <v>4179</v>
      </c>
      <c r="G5" s="237">
        <f>F5</f>
        <v>4179</v>
      </c>
      <c r="H5" s="626">
        <f t="shared" si="0"/>
        <v>-170.3669064748201</v>
      </c>
      <c r="I5" s="237">
        <f t="shared" ref="I5:I11" si="2">D5*(((SUM(G5:H5))/162.5)*1.5)</f>
        <v>0</v>
      </c>
      <c r="J5" s="622"/>
      <c r="K5" s="240" t="s">
        <v>171</v>
      </c>
      <c r="L5" s="241" t="s">
        <v>152</v>
      </c>
      <c r="M5" s="624">
        <f t="shared" si="1"/>
        <v>0</v>
      </c>
    </row>
    <row r="6" spans="1:13" x14ac:dyDescent="0.3">
      <c r="A6" s="235" t="s">
        <v>126</v>
      </c>
      <c r="B6" s="236" t="s">
        <v>225</v>
      </c>
      <c r="C6" s="235">
        <v>106847</v>
      </c>
      <c r="D6" s="625"/>
      <c r="E6" s="237">
        <v>2689</v>
      </c>
      <c r="F6" s="237">
        <f t="shared" ref="F6:F12" si="3">E6*1.4</f>
        <v>3764.6</v>
      </c>
      <c r="G6" s="237">
        <v>3765</v>
      </c>
      <c r="H6" s="626">
        <f t="shared" si="0"/>
        <v>-153.48920863309331</v>
      </c>
      <c r="I6" s="237">
        <f t="shared" si="2"/>
        <v>0</v>
      </c>
      <c r="J6" s="622"/>
      <c r="K6" s="240" t="s">
        <v>165</v>
      </c>
      <c r="L6" s="241" t="s">
        <v>140</v>
      </c>
      <c r="M6" s="624">
        <f t="shared" si="1"/>
        <v>0</v>
      </c>
    </row>
    <row r="7" spans="1:13" x14ac:dyDescent="0.3">
      <c r="A7" s="245" t="s">
        <v>167</v>
      </c>
      <c r="B7" s="243" t="s">
        <v>226</v>
      </c>
      <c r="C7" s="245">
        <v>104640</v>
      </c>
      <c r="D7" s="620"/>
      <c r="E7" s="494">
        <v>2230</v>
      </c>
      <c r="F7" s="244">
        <f t="shared" si="3"/>
        <v>3122</v>
      </c>
      <c r="G7" s="244">
        <v>3122</v>
      </c>
      <c r="H7" s="627">
        <f t="shared" si="0"/>
        <v>-127.27577937649858</v>
      </c>
      <c r="I7" s="246">
        <f>13.72*D7</f>
        <v>0</v>
      </c>
      <c r="J7" s="622"/>
      <c r="K7" s="240" t="s">
        <v>172</v>
      </c>
      <c r="L7" s="241" t="s">
        <v>154</v>
      </c>
      <c r="M7" s="624">
        <f t="shared" si="1"/>
        <v>0</v>
      </c>
    </row>
    <row r="8" spans="1:13" x14ac:dyDescent="0.3">
      <c r="A8" s="245" t="s">
        <v>167</v>
      </c>
      <c r="B8" s="243" t="s">
        <v>227</v>
      </c>
      <c r="C8" s="245">
        <v>104653</v>
      </c>
      <c r="D8" s="620"/>
      <c r="E8" s="494">
        <v>2230</v>
      </c>
      <c r="F8" s="244">
        <f t="shared" si="3"/>
        <v>3122</v>
      </c>
      <c r="G8" s="246">
        <v>3122</v>
      </c>
      <c r="H8" s="621">
        <f t="shared" si="0"/>
        <v>-127.27577937649858</v>
      </c>
      <c r="I8" s="246">
        <f>13.72*D8</f>
        <v>0</v>
      </c>
      <c r="J8" s="622"/>
      <c r="K8" s="240" t="s">
        <v>126</v>
      </c>
      <c r="L8" s="241" t="s">
        <v>155</v>
      </c>
      <c r="M8" s="624">
        <f t="shared" si="1"/>
        <v>0</v>
      </c>
    </row>
    <row r="9" spans="1:13" x14ac:dyDescent="0.3">
      <c r="A9" s="245" t="s">
        <v>167</v>
      </c>
      <c r="B9" s="243" t="s">
        <v>228</v>
      </c>
      <c r="C9" s="245">
        <v>104599</v>
      </c>
      <c r="D9" s="620"/>
      <c r="E9" s="494">
        <v>2442</v>
      </c>
      <c r="F9" s="244">
        <f t="shared" si="3"/>
        <v>3418.7999999999997</v>
      </c>
      <c r="G9" s="246">
        <v>3419</v>
      </c>
      <c r="H9" s="621">
        <f t="shared" si="0"/>
        <v>-139.38369304556363</v>
      </c>
      <c r="I9" s="246">
        <f t="shared" si="2"/>
        <v>0</v>
      </c>
      <c r="J9" s="622"/>
      <c r="K9" s="240" t="s">
        <v>167</v>
      </c>
      <c r="L9" s="241" t="s">
        <v>144</v>
      </c>
      <c r="M9" s="624">
        <f t="shared" si="1"/>
        <v>0</v>
      </c>
    </row>
    <row r="10" spans="1:13" x14ac:dyDescent="0.3">
      <c r="A10" s="245" t="s">
        <v>167</v>
      </c>
      <c r="B10" s="243" t="s">
        <v>229</v>
      </c>
      <c r="C10" s="245">
        <v>104284</v>
      </c>
      <c r="D10" s="620"/>
      <c r="E10" s="494">
        <v>3565</v>
      </c>
      <c r="F10" s="244">
        <f t="shared" si="3"/>
        <v>4991</v>
      </c>
      <c r="G10" s="246">
        <v>4991</v>
      </c>
      <c r="H10" s="621">
        <f t="shared" si="0"/>
        <v>-203.47002398081531</v>
      </c>
      <c r="I10" s="246">
        <f t="shared" si="2"/>
        <v>0</v>
      </c>
      <c r="J10" s="622"/>
      <c r="K10" s="240" t="s">
        <v>173</v>
      </c>
      <c r="L10" s="241" t="s">
        <v>157</v>
      </c>
      <c r="M10" s="624">
        <f t="shared" si="1"/>
        <v>0</v>
      </c>
    </row>
    <row r="11" spans="1:13" s="631" customFormat="1" x14ac:dyDescent="0.3">
      <c r="A11" s="235" t="s">
        <v>169</v>
      </c>
      <c r="B11" s="236" t="s">
        <v>230</v>
      </c>
      <c r="C11" s="235">
        <v>115156</v>
      </c>
      <c r="D11" s="625"/>
      <c r="E11" s="237">
        <v>2400</v>
      </c>
      <c r="F11" s="237">
        <f t="shared" si="3"/>
        <v>3360</v>
      </c>
      <c r="G11" s="237">
        <v>3360</v>
      </c>
      <c r="H11" s="626">
        <f t="shared" si="0"/>
        <v>-136.97841726618708</v>
      </c>
      <c r="I11" s="237">
        <f t="shared" si="2"/>
        <v>0</v>
      </c>
      <c r="J11" s="630"/>
      <c r="K11" s="240" t="s">
        <v>222</v>
      </c>
      <c r="L11" s="241" t="s">
        <v>146</v>
      </c>
      <c r="M11" s="624">
        <f t="shared" si="1"/>
        <v>0</v>
      </c>
    </row>
    <row r="12" spans="1:13" s="233" customFormat="1" x14ac:dyDescent="0.3">
      <c r="A12" s="245" t="s">
        <v>224</v>
      </c>
      <c r="B12" s="243" t="s">
        <v>231</v>
      </c>
      <c r="C12" s="245">
        <v>101830</v>
      </c>
      <c r="D12" s="620">
        <v>0</v>
      </c>
      <c r="E12" s="244">
        <v>2441</v>
      </c>
      <c r="F12" s="246">
        <f t="shared" si="3"/>
        <v>3417.3999999999996</v>
      </c>
      <c r="G12" s="246">
        <v>3417</v>
      </c>
      <c r="H12" s="621">
        <f t="shared" si="0"/>
        <v>-139.30215827338134</v>
      </c>
      <c r="I12" s="246">
        <f>D12*(((SUM(G12:H12))/162.5)*1.5)</f>
        <v>0</v>
      </c>
      <c r="J12" s="294"/>
      <c r="K12" s="240" t="s">
        <v>223</v>
      </c>
      <c r="L12" s="241" t="s">
        <v>159</v>
      </c>
      <c r="M12" s="624">
        <f t="shared" si="1"/>
        <v>0</v>
      </c>
    </row>
    <row r="13" spans="1:13" s="233" customFormat="1" ht="15" thickBot="1" x14ac:dyDescent="0.35">
      <c r="A13" s="3"/>
      <c r="B13" s="4"/>
      <c r="C13" s="3"/>
      <c r="D13" s="792">
        <f t="shared" ref="D13:I13" si="4">SUM(D3:D12)</f>
        <v>0</v>
      </c>
      <c r="E13" s="628">
        <f t="shared" si="4"/>
        <v>27344</v>
      </c>
      <c r="F13" s="628">
        <f t="shared" si="4"/>
        <v>38281.799999999996</v>
      </c>
      <c r="G13" s="249">
        <f t="shared" si="4"/>
        <v>38282</v>
      </c>
      <c r="H13" s="249">
        <f t="shared" si="4"/>
        <v>-1560.6570743405268</v>
      </c>
      <c r="I13" s="249">
        <f t="shared" si="4"/>
        <v>0</v>
      </c>
      <c r="J13" s="294"/>
      <c r="K13" s="240" t="s">
        <v>169</v>
      </c>
      <c r="L13" s="241" t="s">
        <v>148</v>
      </c>
      <c r="M13" s="624">
        <f t="shared" si="1"/>
        <v>0</v>
      </c>
    </row>
    <row r="14" spans="1:13" s="233" customFormat="1" ht="15" thickTop="1" x14ac:dyDescent="0.3">
      <c r="A14"/>
      <c r="B14"/>
      <c r="C14"/>
      <c r="D14"/>
      <c r="E14"/>
      <c r="F14"/>
      <c r="G14"/>
      <c r="H14"/>
      <c r="I14" s="622"/>
      <c r="J14" s="294"/>
      <c r="K14" s="240" t="s">
        <v>212</v>
      </c>
      <c r="L14" s="241" t="s">
        <v>161</v>
      </c>
      <c r="M14" s="624">
        <f t="shared" si="1"/>
        <v>0</v>
      </c>
    </row>
    <row r="15" spans="1:13" s="233" customFormat="1" x14ac:dyDescent="0.3">
      <c r="A15"/>
      <c r="B15"/>
      <c r="C15"/>
      <c r="D15"/>
      <c r="E15" s="250"/>
      <c r="F15" s="250"/>
      <c r="G15" s="250"/>
      <c r="H15" s="250"/>
      <c r="I15" s="250"/>
      <c r="J15" s="294"/>
      <c r="K15" s="240" t="s">
        <v>224</v>
      </c>
      <c r="L15" s="241" t="s">
        <v>150</v>
      </c>
      <c r="M15" s="624">
        <f t="shared" si="1"/>
        <v>0</v>
      </c>
    </row>
    <row r="16" spans="1:13" s="233" customFormat="1" ht="15" thickBot="1" x14ac:dyDescent="0.35">
      <c r="A16"/>
      <c r="B16"/>
      <c r="C16"/>
      <c r="D16"/>
      <c r="E16"/>
      <c r="F16"/>
      <c r="G16"/>
      <c r="H16"/>
      <c r="I16" s="622"/>
      <c r="J16" s="294"/>
      <c r="K16" s="247"/>
      <c r="L16" s="248"/>
      <c r="M16" s="629">
        <f>SUM(M4:M15)</f>
        <v>0</v>
      </c>
    </row>
    <row r="17" spans="1:10" s="233" customFormat="1" x14ac:dyDescent="0.3">
      <c r="A17"/>
      <c r="B17"/>
      <c r="C17"/>
      <c r="D17"/>
      <c r="E17"/>
      <c r="F17"/>
      <c r="G17"/>
      <c r="H17"/>
      <c r="I17" s="622"/>
      <c r="J17" s="294"/>
    </row>
    <row r="18" spans="1:10" s="233" customFormat="1" x14ac:dyDescent="0.3">
      <c r="A18"/>
      <c r="B18"/>
      <c r="C18"/>
      <c r="D18"/>
      <c r="E18"/>
      <c r="F18"/>
      <c r="G18"/>
      <c r="H18"/>
      <c r="I18" s="622"/>
      <c r="J18" s="294"/>
    </row>
    <row r="19" spans="1:10" s="233" customFormat="1" x14ac:dyDescent="0.3">
      <c r="A19"/>
      <c r="B19"/>
      <c r="C19"/>
      <c r="D19"/>
      <c r="E19"/>
      <c r="F19"/>
      <c r="G19"/>
      <c r="H19"/>
      <c r="I19" s="622"/>
      <c r="J19" s="294"/>
    </row>
    <row r="20" spans="1:10" s="233" customFormat="1" x14ac:dyDescent="0.3">
      <c r="A20"/>
      <c r="B20"/>
      <c r="C20"/>
      <c r="D20"/>
      <c r="E20"/>
      <c r="F20"/>
      <c r="G20"/>
      <c r="H20"/>
      <c r="I20" s="622"/>
      <c r="J20" s="294"/>
    </row>
    <row r="21" spans="1:10" s="233" customFormat="1" x14ac:dyDescent="0.3">
      <c r="A21"/>
      <c r="B21"/>
      <c r="C21"/>
      <c r="D21"/>
      <c r="E21"/>
      <c r="F21"/>
      <c r="G21"/>
      <c r="H21"/>
      <c r="I21" s="622"/>
      <c r="J21" s="294"/>
    </row>
    <row r="22" spans="1:10" s="233" customFormat="1" x14ac:dyDescent="0.3">
      <c r="A22"/>
      <c r="B22"/>
      <c r="C22"/>
      <c r="D22"/>
      <c r="E22"/>
      <c r="F22"/>
      <c r="G22"/>
      <c r="H22"/>
      <c r="I22" s="622"/>
      <c r="J22" s="294"/>
    </row>
    <row r="23" spans="1:10" x14ac:dyDescent="0.3">
      <c r="J23" s="622"/>
    </row>
    <row r="24" spans="1:10" x14ac:dyDescent="0.3">
      <c r="J24" s="622"/>
    </row>
    <row r="25" spans="1:10" x14ac:dyDescent="0.3">
      <c r="J25" s="622"/>
    </row>
    <row r="26" spans="1:10" x14ac:dyDescent="0.3">
      <c r="J26" s="622"/>
    </row>
    <row r="27" spans="1:10" x14ac:dyDescent="0.3">
      <c r="J27" s="622"/>
    </row>
    <row r="28" spans="1:10" x14ac:dyDescent="0.3">
      <c r="J28" s="622"/>
    </row>
    <row r="29" spans="1:10" s="233" customFormat="1" x14ac:dyDescent="0.3">
      <c r="I29" s="294"/>
      <c r="J29" s="294"/>
    </row>
    <row r="30" spans="1:10" s="233" customFormat="1" x14ac:dyDescent="0.3">
      <c r="I30" s="294"/>
      <c r="J30" s="294"/>
    </row>
    <row r="31" spans="1:10" x14ac:dyDescent="0.3">
      <c r="J31" s="622"/>
    </row>
    <row r="32" spans="1:10" s="233" customFormat="1" x14ac:dyDescent="0.3">
      <c r="A32"/>
      <c r="B32"/>
      <c r="C32"/>
      <c r="D32"/>
      <c r="E32"/>
      <c r="F32"/>
      <c r="G32"/>
      <c r="H32"/>
      <c r="I32" s="622"/>
      <c r="J32" s="294"/>
    </row>
    <row r="33" spans="1:13" x14ac:dyDescent="0.3">
      <c r="J33" s="294"/>
    </row>
    <row r="34" spans="1:13" s="233" customFormat="1" x14ac:dyDescent="0.3">
      <c r="A34"/>
      <c r="B34"/>
      <c r="C34"/>
      <c r="D34"/>
      <c r="E34"/>
      <c r="F34"/>
      <c r="G34"/>
      <c r="H34"/>
      <c r="I34" s="622"/>
      <c r="J34" s="294"/>
    </row>
    <row r="35" spans="1:13" x14ac:dyDescent="0.3">
      <c r="J35" s="294"/>
    </row>
    <row r="36" spans="1:13" x14ac:dyDescent="0.3">
      <c r="J36" s="294"/>
    </row>
    <row r="37" spans="1:13" s="233" customFormat="1" x14ac:dyDescent="0.3">
      <c r="A37"/>
      <c r="B37"/>
      <c r="C37"/>
      <c r="D37"/>
      <c r="E37"/>
      <c r="F37"/>
      <c r="G37"/>
      <c r="H37"/>
      <c r="I37" s="622"/>
      <c r="J37" s="294"/>
    </row>
    <row r="38" spans="1:13" s="233" customFormat="1" x14ac:dyDescent="0.3">
      <c r="A38"/>
      <c r="B38"/>
      <c r="C38"/>
      <c r="D38"/>
      <c r="E38"/>
      <c r="F38"/>
      <c r="G38"/>
      <c r="H38"/>
      <c r="I38" s="622"/>
      <c r="J38" s="294"/>
    </row>
    <row r="39" spans="1:13" x14ac:dyDescent="0.3">
      <c r="J39" s="294"/>
    </row>
    <row r="40" spans="1:13" s="233" customFormat="1" x14ac:dyDescent="0.3">
      <c r="A40"/>
      <c r="B40"/>
      <c r="C40"/>
      <c r="D40"/>
      <c r="E40"/>
      <c r="F40"/>
      <c r="G40"/>
      <c r="H40"/>
      <c r="I40" s="622"/>
      <c r="J40" s="294"/>
    </row>
    <row r="41" spans="1:13" x14ac:dyDescent="0.3">
      <c r="J41" s="294"/>
      <c r="L41" s="204"/>
      <c r="M41" s="204"/>
    </row>
    <row r="42" spans="1:13" x14ac:dyDescent="0.3">
      <c r="J42" s="294"/>
      <c r="L42" s="204"/>
      <c r="M42" s="204"/>
    </row>
    <row r="43" spans="1:13" x14ac:dyDescent="0.3">
      <c r="J43" s="294"/>
    </row>
    <row r="44" spans="1:13" x14ac:dyDescent="0.3">
      <c r="J44" s="294"/>
    </row>
    <row r="45" spans="1:13" s="3" customFormat="1" x14ac:dyDescent="0.3">
      <c r="A45"/>
      <c r="B45"/>
      <c r="C45"/>
      <c r="D45"/>
      <c r="E45"/>
      <c r="F45"/>
      <c r="G45"/>
      <c r="H45"/>
      <c r="I45" s="622"/>
      <c r="J45" s="4"/>
    </row>
    <row r="46" spans="1:13" x14ac:dyDescent="0.3">
      <c r="J46" s="233"/>
    </row>
  </sheetData>
  <pageMargins left="0.45" right="0.45" top="0.25" bottom="0.25" header="0" footer="0"/>
  <pageSetup scale="8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X16"/>
  <sheetViews>
    <sheetView zoomScaleNormal="100" workbookViewId="0">
      <pane xSplit="2" ySplit="1" topLeftCell="C2" activePane="bottomRight" state="frozen"/>
      <selection activeCell="C16" sqref="C16"/>
      <selection pane="topRight" activeCell="C16" sqref="C16"/>
      <selection pane="bottomLeft" activeCell="C16" sqref="C16"/>
      <selection pane="bottomRight" activeCell="D3" sqref="D3"/>
    </sheetView>
  </sheetViews>
  <sheetFormatPr defaultRowHeight="14.4" x14ac:dyDescent="0.3"/>
  <cols>
    <col min="1" max="1" width="24.44140625" customWidth="1"/>
    <col min="2" max="2" width="8" customWidth="1"/>
    <col min="3" max="8" width="9.5546875" customWidth="1"/>
    <col min="9" max="10" width="9.109375" customWidth="1"/>
    <col min="12" max="13" width="9.109375" customWidth="1"/>
    <col min="15" max="16" width="9.109375" customWidth="1"/>
    <col min="18" max="19" width="9.109375" customWidth="1"/>
    <col min="21" max="22" width="9.109375" customWidth="1"/>
    <col min="24" max="24" width="4.5546875" customWidth="1"/>
    <col min="25" max="25" width="4" customWidth="1"/>
    <col min="27" max="28" width="0" hidden="1" customWidth="1"/>
    <col min="30" max="31" width="0" hidden="1" customWidth="1"/>
    <col min="33" max="34" width="0" hidden="1" customWidth="1"/>
    <col min="36" max="37" width="0" hidden="1" customWidth="1"/>
    <col min="39" max="40" width="0" hidden="1" customWidth="1"/>
    <col min="42" max="43" width="0" hidden="1" customWidth="1"/>
    <col min="45" max="46" width="0" hidden="1" customWidth="1"/>
    <col min="48" max="49" width="0" hidden="1" customWidth="1"/>
    <col min="51" max="52" width="0" hidden="1" customWidth="1"/>
    <col min="54" max="55" width="0" hidden="1" customWidth="1"/>
    <col min="57" max="58" width="0" hidden="1" customWidth="1"/>
    <col min="60" max="61" width="0" hidden="1" customWidth="1"/>
    <col min="63" max="64" width="0" hidden="1" customWidth="1"/>
    <col min="66" max="67" width="0" hidden="1" customWidth="1"/>
    <col min="69" max="70" width="0" hidden="1" customWidth="1"/>
    <col min="72" max="73" width="0" hidden="1" customWidth="1"/>
    <col min="75" max="76" width="0" hidden="1" customWidth="1"/>
    <col min="78" max="79" width="0" hidden="1" customWidth="1"/>
    <col min="81" max="82" width="0" hidden="1" customWidth="1"/>
    <col min="84" max="85" width="0" hidden="1" customWidth="1"/>
    <col min="87" max="88" width="0" hidden="1" customWidth="1"/>
    <col min="90" max="91" width="0" hidden="1" customWidth="1"/>
    <col min="93" max="94" width="0" hidden="1" customWidth="1"/>
    <col min="96" max="97" width="0" hidden="1" customWidth="1"/>
    <col min="99" max="100" width="0" hidden="1" customWidth="1"/>
    <col min="102" max="103" width="0" hidden="1" customWidth="1"/>
    <col min="105" max="106" width="0" hidden="1" customWidth="1"/>
    <col min="108" max="128" width="0" hidden="1" customWidth="1"/>
  </cols>
  <sheetData>
    <row r="1" spans="1:128" x14ac:dyDescent="0.3">
      <c r="B1" s="37" t="s">
        <v>125</v>
      </c>
      <c r="C1" s="160">
        <f>'DOC Invoice'!J3</f>
        <v>45139</v>
      </c>
      <c r="D1" s="88">
        <f>C1</f>
        <v>45139</v>
      </c>
      <c r="E1" s="90">
        <f>'DOC Invoice'!J3</f>
        <v>45139</v>
      </c>
      <c r="F1" s="88">
        <f>D1+1</f>
        <v>45140</v>
      </c>
      <c r="G1" s="88">
        <f>F1</f>
        <v>45140</v>
      </c>
      <c r="H1" s="90">
        <f>E1+1</f>
        <v>45140</v>
      </c>
      <c r="I1" s="88">
        <f>G1+1</f>
        <v>45141</v>
      </c>
      <c r="J1" s="88">
        <f>I1</f>
        <v>45141</v>
      </c>
      <c r="K1" s="90">
        <f>J1</f>
        <v>45141</v>
      </c>
      <c r="L1" s="88">
        <f>J1+1</f>
        <v>45142</v>
      </c>
      <c r="M1" s="88">
        <f>L1</f>
        <v>45142</v>
      </c>
      <c r="N1" s="90">
        <f>M1</f>
        <v>45142</v>
      </c>
      <c r="O1" s="88">
        <f>M1+1</f>
        <v>45143</v>
      </c>
      <c r="P1" s="88">
        <f>O1</f>
        <v>45143</v>
      </c>
      <c r="Q1" s="90">
        <f>P1</f>
        <v>45143</v>
      </c>
      <c r="R1" s="88">
        <f>P1+1</f>
        <v>45144</v>
      </c>
      <c r="S1" s="88">
        <f>R1</f>
        <v>45144</v>
      </c>
      <c r="T1" s="90">
        <f>S1</f>
        <v>45144</v>
      </c>
      <c r="U1" s="88">
        <f>S1+1</f>
        <v>45145</v>
      </c>
      <c r="V1" s="88">
        <f>U1</f>
        <v>45145</v>
      </c>
      <c r="W1" s="90">
        <f>V1</f>
        <v>45145</v>
      </c>
      <c r="X1" s="173"/>
      <c r="Y1" s="173"/>
      <c r="Z1" s="174"/>
      <c r="AA1" s="173"/>
      <c r="AB1" s="173"/>
      <c r="AC1" s="174"/>
      <c r="AD1" s="173"/>
      <c r="AE1" s="173"/>
      <c r="AF1" s="174"/>
      <c r="AG1" s="173"/>
      <c r="AH1" s="173"/>
      <c r="AI1" s="174"/>
      <c r="AJ1" s="173"/>
      <c r="AK1" s="173"/>
      <c r="AL1" s="174"/>
      <c r="AM1" s="173"/>
      <c r="AN1" s="173"/>
      <c r="AO1" s="174"/>
      <c r="AP1" s="173"/>
      <c r="AQ1" s="173"/>
      <c r="AR1" s="174"/>
      <c r="AS1" s="173"/>
      <c r="AT1" s="173"/>
      <c r="AU1" s="174"/>
      <c r="AV1" s="173"/>
      <c r="AW1" s="173"/>
      <c r="AX1" s="174"/>
      <c r="AY1" s="173"/>
      <c r="AZ1" s="173"/>
      <c r="BA1" s="174"/>
      <c r="BB1" s="173"/>
      <c r="BC1" s="173"/>
      <c r="BD1" s="174"/>
      <c r="BE1" s="173"/>
      <c r="BF1" s="173"/>
      <c r="BG1" s="174"/>
      <c r="BH1" s="173"/>
      <c r="BI1" s="173"/>
      <c r="BJ1" s="174"/>
      <c r="BK1" s="173"/>
      <c r="BL1" s="173"/>
      <c r="BM1" s="174"/>
      <c r="BN1" s="173"/>
      <c r="BO1" s="173"/>
      <c r="BP1" s="174"/>
      <c r="BQ1" s="173"/>
      <c r="BR1" s="173"/>
      <c r="BS1" s="174"/>
      <c r="BT1" s="173"/>
      <c r="BU1" s="173"/>
      <c r="BV1" s="174"/>
      <c r="BW1" s="173"/>
      <c r="BX1" s="173"/>
      <c r="BY1" s="174"/>
      <c r="BZ1" s="173"/>
      <c r="CA1" s="173"/>
      <c r="CB1" s="174"/>
      <c r="CC1" s="173"/>
      <c r="CD1" s="173"/>
      <c r="CE1" s="174"/>
      <c r="CF1" s="173"/>
      <c r="CG1" s="173"/>
      <c r="CH1" s="174"/>
      <c r="CI1" s="173"/>
      <c r="CJ1" s="173"/>
      <c r="CK1" s="174"/>
      <c r="CL1" s="173"/>
      <c r="CM1" s="173"/>
      <c r="CN1" s="174"/>
      <c r="CO1" s="173"/>
      <c r="CP1" s="173"/>
      <c r="CQ1" s="174"/>
      <c r="CR1" s="173"/>
      <c r="CS1" s="173"/>
      <c r="CT1" s="174"/>
      <c r="CU1" s="173"/>
      <c r="CV1" s="173"/>
      <c r="CW1" s="174"/>
      <c r="CX1" s="173"/>
      <c r="CY1" s="173"/>
      <c r="CZ1" s="174"/>
      <c r="DA1" s="173"/>
      <c r="DB1" s="173"/>
      <c r="DC1" s="174"/>
      <c r="DD1" s="88">
        <f>DB1+1</f>
        <v>1</v>
      </c>
      <c r="DE1" s="88">
        <f>DD1</f>
        <v>1</v>
      </c>
      <c r="DF1" s="90">
        <f>DE1</f>
        <v>1</v>
      </c>
      <c r="DG1" s="88">
        <f>DE1+1</f>
        <v>2</v>
      </c>
      <c r="DH1" s="88">
        <f>DG1</f>
        <v>2</v>
      </c>
      <c r="DI1" s="90">
        <f>DH1</f>
        <v>2</v>
      </c>
      <c r="DJ1" s="88">
        <f>DH1+1</f>
        <v>3</v>
      </c>
      <c r="DK1" s="88">
        <f>DJ1</f>
        <v>3</v>
      </c>
      <c r="DL1" s="90">
        <f>DK1</f>
        <v>3</v>
      </c>
      <c r="DM1" s="88">
        <f>DK1+1</f>
        <v>4</v>
      </c>
      <c r="DN1" s="88">
        <f>DM1</f>
        <v>4</v>
      </c>
      <c r="DO1" s="90">
        <f>DN1</f>
        <v>4</v>
      </c>
      <c r="DP1" s="88">
        <f>DN1+1</f>
        <v>5</v>
      </c>
      <c r="DQ1" s="88">
        <f>DP1</f>
        <v>5</v>
      </c>
      <c r="DR1" s="90">
        <f>DQ1</f>
        <v>5</v>
      </c>
      <c r="DS1" s="88">
        <f>DQ1+1</f>
        <v>6</v>
      </c>
      <c r="DT1" s="88">
        <f>DS1</f>
        <v>6</v>
      </c>
      <c r="DU1" s="90">
        <f>DT1</f>
        <v>6</v>
      </c>
      <c r="DV1" s="88">
        <f>DT1+1</f>
        <v>7</v>
      </c>
      <c r="DW1" s="88">
        <f>DV1</f>
        <v>7</v>
      </c>
      <c r="DX1" s="90">
        <f>DW1</f>
        <v>7</v>
      </c>
    </row>
    <row r="2" spans="1:128" x14ac:dyDescent="0.3">
      <c r="A2" t="s">
        <v>164</v>
      </c>
      <c r="C2" s="161"/>
      <c r="D2" s="161"/>
      <c r="E2" s="163"/>
      <c r="F2" s="161"/>
      <c r="G2" s="161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6"/>
      <c r="CM2" s="176"/>
      <c r="CN2" s="175"/>
      <c r="CO2" s="176"/>
      <c r="CP2" s="176"/>
      <c r="CQ2" s="175"/>
      <c r="CR2" s="176"/>
      <c r="CS2" s="176"/>
      <c r="CT2" s="175"/>
      <c r="CU2" s="176"/>
      <c r="CV2" s="176"/>
      <c r="CW2" s="175"/>
      <c r="CX2" s="176"/>
      <c r="CY2" s="176"/>
      <c r="CZ2" s="175"/>
      <c r="DA2" s="176"/>
      <c r="DB2" s="176"/>
      <c r="DC2" s="175"/>
      <c r="DD2" s="161"/>
      <c r="DE2" s="161"/>
      <c r="DF2" s="163"/>
      <c r="DG2" s="161"/>
      <c r="DH2" s="161"/>
      <c r="DI2" s="163"/>
      <c r="DJ2" s="161"/>
      <c r="DK2" s="161"/>
      <c r="DL2" s="163"/>
      <c r="DM2" s="161"/>
      <c r="DN2" s="161"/>
      <c r="DO2" s="163"/>
      <c r="DP2" s="161"/>
      <c r="DQ2" s="161"/>
      <c r="DR2" s="163"/>
      <c r="DS2" s="161"/>
      <c r="DT2" s="161"/>
      <c r="DU2" s="163"/>
      <c r="DV2" s="161"/>
      <c r="DW2" s="161"/>
      <c r="DX2" s="163"/>
    </row>
    <row r="3" spans="1:128" x14ac:dyDescent="0.3">
      <c r="A3" t="s">
        <v>165</v>
      </c>
      <c r="C3" s="161"/>
      <c r="D3" s="161"/>
      <c r="E3" s="163"/>
      <c r="F3" s="161"/>
      <c r="G3" s="161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6"/>
      <c r="CM3" s="176"/>
      <c r="CN3" s="175"/>
      <c r="CO3" s="176"/>
      <c r="CP3" s="176"/>
      <c r="CQ3" s="175"/>
      <c r="CR3" s="176"/>
      <c r="CS3" s="176"/>
      <c r="CT3" s="175"/>
      <c r="CU3" s="176"/>
      <c r="CV3" s="176"/>
      <c r="CW3" s="175"/>
      <c r="CX3" s="176"/>
      <c r="CY3" s="176"/>
      <c r="CZ3" s="175"/>
      <c r="DA3" s="176"/>
      <c r="DB3" s="176"/>
      <c r="DC3" s="175"/>
      <c r="DD3" s="161"/>
      <c r="DE3" s="161"/>
      <c r="DF3" s="163"/>
      <c r="DG3" s="161"/>
      <c r="DH3" s="161"/>
      <c r="DI3" s="163"/>
      <c r="DJ3" s="161"/>
      <c r="DK3" s="161"/>
      <c r="DL3" s="163"/>
      <c r="DM3" s="161"/>
      <c r="DN3" s="161"/>
      <c r="DO3" s="163"/>
      <c r="DP3" s="161"/>
      <c r="DQ3" s="161"/>
      <c r="DR3" s="163"/>
      <c r="DS3" s="161"/>
      <c r="DT3" s="161"/>
      <c r="DU3" s="163"/>
      <c r="DV3" s="161"/>
      <c r="DW3" s="161"/>
      <c r="DX3" s="163"/>
    </row>
    <row r="4" spans="1:128" x14ac:dyDescent="0.3">
      <c r="A4" t="s">
        <v>166</v>
      </c>
      <c r="C4" s="161"/>
      <c r="D4" s="161"/>
      <c r="E4" s="163"/>
      <c r="F4" s="161"/>
      <c r="G4" s="161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6"/>
      <c r="CM4" s="176"/>
      <c r="CN4" s="175"/>
      <c r="CO4" s="176"/>
      <c r="CP4" s="176"/>
      <c r="CQ4" s="175"/>
      <c r="CR4" s="176"/>
      <c r="CS4" s="176"/>
      <c r="CT4" s="175"/>
      <c r="CU4" s="176"/>
      <c r="CV4" s="176"/>
      <c r="CW4" s="175"/>
      <c r="CX4" s="176"/>
      <c r="CY4" s="176"/>
      <c r="CZ4" s="175"/>
      <c r="DA4" s="176"/>
      <c r="DB4" s="176"/>
      <c r="DC4" s="175"/>
      <c r="DD4" s="161"/>
      <c r="DE4" s="161"/>
      <c r="DF4" s="163"/>
      <c r="DG4" s="161"/>
      <c r="DH4" s="161"/>
      <c r="DI4" s="163"/>
      <c r="DJ4" s="161"/>
      <c r="DK4" s="161"/>
      <c r="DL4" s="163"/>
      <c r="DM4" s="161"/>
      <c r="DN4" s="161"/>
      <c r="DO4" s="163"/>
      <c r="DP4" s="161"/>
      <c r="DQ4" s="161"/>
      <c r="DR4" s="163"/>
      <c r="DS4" s="161"/>
      <c r="DT4" s="161"/>
      <c r="DU4" s="163"/>
      <c r="DV4" s="161"/>
      <c r="DW4" s="161"/>
      <c r="DX4" s="163"/>
    </row>
    <row r="5" spans="1:128" x14ac:dyDescent="0.3">
      <c r="A5" t="s">
        <v>167</v>
      </c>
      <c r="C5" s="161"/>
      <c r="D5" s="161"/>
      <c r="E5" s="163"/>
      <c r="F5" s="161"/>
      <c r="G5" s="161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6"/>
      <c r="CM5" s="176"/>
      <c r="CN5" s="175"/>
      <c r="CO5" s="176"/>
      <c r="CP5" s="176"/>
      <c r="CQ5" s="175"/>
      <c r="CR5" s="176"/>
      <c r="CS5" s="176"/>
      <c r="CT5" s="175"/>
      <c r="CU5" s="176"/>
      <c r="CV5" s="176"/>
      <c r="CW5" s="175"/>
      <c r="CX5" s="176"/>
      <c r="CY5" s="176"/>
      <c r="CZ5" s="175"/>
      <c r="DA5" s="176"/>
      <c r="DB5" s="176"/>
      <c r="DC5" s="175"/>
      <c r="DD5" s="161"/>
      <c r="DE5" s="161"/>
      <c r="DF5" s="163"/>
      <c r="DG5" s="161"/>
      <c r="DH5" s="161"/>
      <c r="DI5" s="163"/>
      <c r="DJ5" s="161"/>
      <c r="DK5" s="161"/>
      <c r="DL5" s="163"/>
      <c r="DM5" s="161"/>
      <c r="DN5" s="161"/>
      <c r="DO5" s="163"/>
      <c r="DP5" s="161"/>
      <c r="DQ5" s="161"/>
      <c r="DR5" s="163"/>
      <c r="DS5" s="161"/>
      <c r="DT5" s="161"/>
      <c r="DU5" s="163"/>
      <c r="DV5" s="161"/>
      <c r="DW5" s="161"/>
      <c r="DX5" s="163"/>
    </row>
    <row r="6" spans="1:128" x14ac:dyDescent="0.3">
      <c r="A6" t="s">
        <v>168</v>
      </c>
      <c r="C6" s="161"/>
      <c r="D6" s="161"/>
      <c r="E6" s="163"/>
      <c r="F6" s="161"/>
      <c r="G6" s="161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6"/>
      <c r="CM6" s="176"/>
      <c r="CN6" s="175"/>
      <c r="CO6" s="176"/>
      <c r="CP6" s="176"/>
      <c r="CQ6" s="175"/>
      <c r="CR6" s="176"/>
      <c r="CS6" s="176"/>
      <c r="CT6" s="175"/>
      <c r="CU6" s="176"/>
      <c r="CV6" s="176"/>
      <c r="CW6" s="175"/>
      <c r="CX6" s="176"/>
      <c r="CY6" s="176"/>
      <c r="CZ6" s="175"/>
      <c r="DA6" s="176"/>
      <c r="DB6" s="176"/>
      <c r="DC6" s="175"/>
      <c r="DD6" s="161"/>
      <c r="DE6" s="161"/>
      <c r="DF6" s="163"/>
      <c r="DG6" s="161"/>
      <c r="DH6" s="161"/>
      <c r="DI6" s="163"/>
      <c r="DJ6" s="161"/>
      <c r="DK6" s="161"/>
      <c r="DL6" s="163"/>
      <c r="DM6" s="161"/>
      <c r="DN6" s="161"/>
      <c r="DO6" s="163"/>
      <c r="DP6" s="161"/>
      <c r="DQ6" s="161"/>
      <c r="DR6" s="163"/>
      <c r="DS6" s="161"/>
      <c r="DT6" s="161"/>
      <c r="DU6" s="163"/>
      <c r="DV6" s="161"/>
      <c r="DW6" s="161"/>
      <c r="DX6" s="163"/>
    </row>
    <row r="7" spans="1:128" x14ac:dyDescent="0.3">
      <c r="A7" t="s">
        <v>169</v>
      </c>
      <c r="C7" s="161"/>
      <c r="D7" s="161"/>
      <c r="E7" s="163"/>
      <c r="F7" s="161"/>
      <c r="G7" s="161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6"/>
      <c r="CM7" s="176"/>
      <c r="CN7" s="175"/>
      <c r="CO7" s="176"/>
      <c r="CP7" s="176"/>
      <c r="CQ7" s="175"/>
      <c r="CR7" s="176"/>
      <c r="CS7" s="176"/>
      <c r="CT7" s="175"/>
      <c r="CU7" s="176"/>
      <c r="CV7" s="176"/>
      <c r="CW7" s="175"/>
      <c r="CX7" s="176"/>
      <c r="CY7" s="176"/>
      <c r="CZ7" s="175"/>
      <c r="DA7" s="176"/>
      <c r="DB7" s="176"/>
      <c r="DC7" s="175"/>
      <c r="DD7" s="161"/>
      <c r="DE7" s="161"/>
      <c r="DF7" s="163"/>
      <c r="DG7" s="161"/>
      <c r="DH7" s="161"/>
      <c r="DI7" s="163"/>
      <c r="DJ7" s="161"/>
      <c r="DK7" s="161"/>
      <c r="DL7" s="163"/>
      <c r="DM7" s="161"/>
      <c r="DN7" s="161"/>
      <c r="DO7" s="163"/>
      <c r="DP7" s="161"/>
      <c r="DQ7" s="161"/>
      <c r="DR7" s="163"/>
      <c r="DS7" s="161"/>
      <c r="DT7" s="161"/>
      <c r="DU7" s="163"/>
      <c r="DV7" s="161"/>
      <c r="DW7" s="161"/>
      <c r="DX7" s="163"/>
    </row>
    <row r="8" spans="1:128" x14ac:dyDescent="0.3">
      <c r="A8" t="s">
        <v>170</v>
      </c>
      <c r="C8" s="161"/>
      <c r="D8" s="161"/>
      <c r="E8" s="163"/>
      <c r="F8" s="161"/>
      <c r="G8" s="161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6"/>
      <c r="CM8" s="176"/>
      <c r="CN8" s="175"/>
      <c r="CO8" s="176"/>
      <c r="CP8" s="176"/>
      <c r="CQ8" s="175"/>
      <c r="CR8" s="176"/>
      <c r="CS8" s="176"/>
      <c r="CT8" s="175"/>
      <c r="CU8" s="176"/>
      <c r="CV8" s="176"/>
      <c r="CW8" s="175"/>
      <c r="CX8" s="176"/>
      <c r="CY8" s="176"/>
      <c r="CZ8" s="175"/>
      <c r="DA8" s="176"/>
      <c r="DB8" s="176"/>
      <c r="DC8" s="175"/>
      <c r="DD8" s="161"/>
      <c r="DE8" s="161"/>
      <c r="DF8" s="163"/>
      <c r="DG8" s="161"/>
      <c r="DH8" s="161"/>
      <c r="DI8" s="163"/>
      <c r="DJ8" s="161"/>
      <c r="DK8" s="161"/>
      <c r="DL8" s="163"/>
      <c r="DM8" s="161"/>
      <c r="DN8" s="161"/>
      <c r="DO8" s="163"/>
      <c r="DP8" s="161"/>
      <c r="DQ8" s="161"/>
      <c r="DR8" s="163"/>
      <c r="DS8" s="161"/>
      <c r="DT8" s="161"/>
      <c r="DU8" s="163"/>
      <c r="DV8" s="161"/>
      <c r="DW8" s="161"/>
      <c r="DX8" s="163"/>
    </row>
    <row r="9" spans="1:128" x14ac:dyDescent="0.3">
      <c r="A9" t="s">
        <v>171</v>
      </c>
      <c r="C9" s="161"/>
      <c r="D9" s="161"/>
      <c r="E9" s="163"/>
      <c r="F9" s="161"/>
      <c r="G9" s="161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6"/>
      <c r="CM9" s="176"/>
      <c r="CN9" s="175"/>
      <c r="CO9" s="176"/>
      <c r="CP9" s="176"/>
      <c r="CQ9" s="175"/>
      <c r="CR9" s="176"/>
      <c r="CS9" s="176"/>
      <c r="CT9" s="175"/>
      <c r="CU9" s="176"/>
      <c r="CV9" s="176"/>
      <c r="CW9" s="175"/>
      <c r="CX9" s="176"/>
      <c r="CY9" s="176"/>
      <c r="CZ9" s="175"/>
      <c r="DA9" s="176"/>
      <c r="DB9" s="176"/>
      <c r="DC9" s="175"/>
      <c r="DD9" s="161"/>
      <c r="DE9" s="161"/>
      <c r="DF9" s="163"/>
      <c r="DG9" s="161"/>
      <c r="DH9" s="161"/>
      <c r="DI9" s="163"/>
      <c r="DJ9" s="161"/>
      <c r="DK9" s="161"/>
      <c r="DL9" s="163"/>
      <c r="DM9" s="161"/>
      <c r="DN9" s="161"/>
      <c r="DO9" s="163"/>
      <c r="DP9" s="161"/>
      <c r="DQ9" s="161"/>
      <c r="DR9" s="163"/>
      <c r="DS9" s="161"/>
      <c r="DT9" s="161"/>
      <c r="DU9" s="163"/>
      <c r="DV9" s="161"/>
      <c r="DW9" s="161"/>
      <c r="DX9" s="163"/>
    </row>
    <row r="10" spans="1:128" x14ac:dyDescent="0.3">
      <c r="A10" t="s">
        <v>172</v>
      </c>
      <c r="C10" s="161"/>
      <c r="D10" s="161"/>
      <c r="E10" s="163"/>
      <c r="F10" s="161"/>
      <c r="G10" s="161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6"/>
      <c r="CM10" s="176"/>
      <c r="CN10" s="175"/>
      <c r="CO10" s="176"/>
      <c r="CP10" s="176"/>
      <c r="CQ10" s="175"/>
      <c r="CR10" s="176"/>
      <c r="CS10" s="176"/>
      <c r="CT10" s="175"/>
      <c r="CU10" s="176"/>
      <c r="CV10" s="176"/>
      <c r="CW10" s="175"/>
      <c r="CX10" s="176"/>
      <c r="CY10" s="176"/>
      <c r="CZ10" s="175"/>
      <c r="DA10" s="176"/>
      <c r="DB10" s="176"/>
      <c r="DC10" s="175"/>
      <c r="DD10" s="161"/>
      <c r="DE10" s="161"/>
      <c r="DF10" s="163"/>
      <c r="DG10" s="161"/>
      <c r="DH10" s="161"/>
      <c r="DI10" s="163"/>
      <c r="DJ10" s="161"/>
      <c r="DK10" s="161"/>
      <c r="DL10" s="163"/>
      <c r="DM10" s="161"/>
      <c r="DN10" s="161"/>
      <c r="DO10" s="163"/>
      <c r="DP10" s="161"/>
      <c r="DQ10" s="161"/>
      <c r="DR10" s="163"/>
      <c r="DS10" s="161"/>
      <c r="DT10" s="161"/>
      <c r="DU10" s="163"/>
      <c r="DV10" s="161"/>
      <c r="DW10" s="161"/>
      <c r="DX10" s="163"/>
    </row>
    <row r="11" spans="1:128" x14ac:dyDescent="0.3">
      <c r="A11" t="s">
        <v>126</v>
      </c>
      <c r="C11" s="161"/>
      <c r="D11" s="161"/>
      <c r="E11" s="163"/>
      <c r="F11" s="161"/>
      <c r="G11" s="161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6"/>
      <c r="CM11" s="176"/>
      <c r="CN11" s="175"/>
      <c r="CO11" s="176"/>
      <c r="CP11" s="176"/>
      <c r="CQ11" s="175"/>
      <c r="CR11" s="176"/>
      <c r="CS11" s="176"/>
      <c r="CT11" s="175"/>
      <c r="CU11" s="176"/>
      <c r="CV11" s="176"/>
      <c r="CW11" s="175"/>
      <c r="CX11" s="176"/>
      <c r="CY11" s="176"/>
      <c r="CZ11" s="175"/>
      <c r="DA11" s="176"/>
      <c r="DB11" s="176"/>
      <c r="DC11" s="175"/>
      <c r="DD11" s="161"/>
      <c r="DE11" s="161"/>
      <c r="DF11" s="163"/>
      <c r="DG11" s="161"/>
      <c r="DH11" s="161"/>
      <c r="DI11" s="163"/>
      <c r="DJ11" s="161"/>
      <c r="DK11" s="161"/>
      <c r="DL11" s="163"/>
      <c r="DM11" s="161"/>
      <c r="DN11" s="161"/>
      <c r="DO11" s="163"/>
      <c r="DP11" s="161"/>
      <c r="DQ11" s="161"/>
      <c r="DR11" s="163"/>
      <c r="DS11" s="161"/>
      <c r="DT11" s="161"/>
      <c r="DU11" s="163"/>
      <c r="DV11" s="161"/>
      <c r="DW11" s="161"/>
      <c r="DX11" s="163"/>
    </row>
    <row r="12" spans="1:128" x14ac:dyDescent="0.3">
      <c r="A12" t="s">
        <v>173</v>
      </c>
      <c r="C12" s="161"/>
      <c r="D12" s="161"/>
      <c r="E12" s="163"/>
      <c r="F12" s="161"/>
      <c r="G12" s="161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6"/>
      <c r="CM12" s="176"/>
      <c r="CN12" s="175"/>
      <c r="CO12" s="176"/>
      <c r="CP12" s="176"/>
      <c r="CQ12" s="175"/>
      <c r="CR12" s="176"/>
      <c r="CS12" s="176"/>
      <c r="CT12" s="175"/>
      <c r="CU12" s="176"/>
      <c r="CV12" s="176"/>
      <c r="CW12" s="175"/>
      <c r="CX12" s="176"/>
      <c r="CY12" s="176"/>
      <c r="CZ12" s="175"/>
      <c r="DA12" s="176"/>
      <c r="DB12" s="176"/>
      <c r="DC12" s="175"/>
      <c r="DD12" s="161"/>
      <c r="DE12" s="161"/>
      <c r="DF12" s="163"/>
      <c r="DG12" s="161"/>
      <c r="DH12" s="161"/>
      <c r="DI12" s="163"/>
      <c r="DJ12" s="161"/>
      <c r="DK12" s="161"/>
      <c r="DL12" s="163"/>
      <c r="DM12" s="161"/>
      <c r="DN12" s="161"/>
      <c r="DO12" s="163"/>
      <c r="DP12" s="161"/>
      <c r="DQ12" s="161"/>
      <c r="DR12" s="163"/>
      <c r="DS12" s="161"/>
      <c r="DT12" s="161"/>
      <c r="DU12" s="163"/>
      <c r="DV12" s="161"/>
      <c r="DW12" s="161"/>
      <c r="DX12" s="163"/>
    </row>
    <row r="13" spans="1:128" x14ac:dyDescent="0.3">
      <c r="A13" t="s">
        <v>174</v>
      </c>
      <c r="C13" s="161"/>
      <c r="D13" s="161"/>
      <c r="E13" s="163"/>
      <c r="F13" s="161"/>
      <c r="G13" s="161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6"/>
      <c r="CM13" s="176"/>
      <c r="CN13" s="175"/>
      <c r="CO13" s="176"/>
      <c r="CP13" s="176"/>
      <c r="CQ13" s="175"/>
      <c r="CR13" s="176"/>
      <c r="CS13" s="176"/>
      <c r="CT13" s="175"/>
      <c r="CU13" s="176"/>
      <c r="CV13" s="176"/>
      <c r="CW13" s="175"/>
      <c r="CX13" s="176"/>
      <c r="CY13" s="176"/>
      <c r="CZ13" s="175"/>
      <c r="DA13" s="176"/>
      <c r="DB13" s="176"/>
      <c r="DC13" s="175"/>
      <c r="DD13" s="161"/>
      <c r="DE13" s="161"/>
      <c r="DF13" s="163"/>
      <c r="DG13" s="161"/>
      <c r="DH13" s="161"/>
      <c r="DI13" s="163"/>
      <c r="DJ13" s="161"/>
      <c r="DK13" s="161"/>
      <c r="DL13" s="163"/>
      <c r="DM13" s="161"/>
      <c r="DN13" s="161"/>
      <c r="DO13" s="163"/>
      <c r="DP13" s="161"/>
      <c r="DQ13" s="161"/>
      <c r="DR13" s="163"/>
      <c r="DS13" s="161"/>
      <c r="DT13" s="161"/>
      <c r="DU13" s="163"/>
      <c r="DV13" s="161"/>
      <c r="DW13" s="161"/>
      <c r="DX13" s="163"/>
    </row>
    <row r="14" spans="1:128" x14ac:dyDescent="0.3">
      <c r="A14" t="s">
        <v>175</v>
      </c>
      <c r="C14" s="161"/>
      <c r="D14" s="161"/>
      <c r="E14" s="163"/>
      <c r="F14" s="161"/>
      <c r="G14" s="161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6"/>
      <c r="CM14" s="176"/>
      <c r="CN14" s="175"/>
      <c r="CO14" s="176"/>
      <c r="CP14" s="176"/>
      <c r="CQ14" s="175"/>
      <c r="CR14" s="176"/>
      <c r="CS14" s="176"/>
      <c r="CT14" s="175"/>
      <c r="CU14" s="176"/>
      <c r="CV14" s="176"/>
      <c r="CW14" s="175"/>
      <c r="CX14" s="176"/>
      <c r="CY14" s="176"/>
      <c r="CZ14" s="175"/>
      <c r="DA14" s="176"/>
      <c r="DB14" s="176"/>
      <c r="DC14" s="175"/>
      <c r="DD14" s="161"/>
      <c r="DE14" s="161"/>
      <c r="DF14" s="163"/>
      <c r="DG14" s="161"/>
      <c r="DH14" s="161"/>
      <c r="DI14" s="163"/>
      <c r="DJ14" s="161"/>
      <c r="DK14" s="161"/>
      <c r="DL14" s="163"/>
      <c r="DM14" s="161"/>
      <c r="DN14" s="161"/>
      <c r="DO14" s="163"/>
      <c r="DP14" s="161"/>
      <c r="DQ14" s="161"/>
      <c r="DR14" s="163"/>
      <c r="DS14" s="161"/>
      <c r="DT14" s="161"/>
      <c r="DU14" s="163"/>
      <c r="DV14" s="161"/>
      <c r="DW14" s="161"/>
      <c r="DX14" s="163"/>
    </row>
    <row r="15" spans="1:128" x14ac:dyDescent="0.3">
      <c r="C15" s="89"/>
      <c r="D15" s="89"/>
      <c r="E15" s="89">
        <f>SUM(E2:E14)</f>
        <v>0</v>
      </c>
      <c r="F15" s="89"/>
      <c r="G15" s="89"/>
      <c r="H15" s="89">
        <f>SUM(H2:H14)</f>
        <v>0</v>
      </c>
      <c r="I15" s="89"/>
      <c r="J15" s="89"/>
      <c r="K15" s="89">
        <f>SUM(K2:K14)</f>
        <v>0</v>
      </c>
      <c r="L15" s="89"/>
      <c r="M15" s="89"/>
      <c r="N15" s="89">
        <f>SUM(N2:N14)</f>
        <v>0</v>
      </c>
      <c r="O15" s="89"/>
      <c r="P15" s="89"/>
      <c r="Q15" s="89">
        <f>SUM(Q2:Q14)</f>
        <v>0</v>
      </c>
      <c r="R15" s="89"/>
      <c r="S15" s="89"/>
      <c r="T15" s="89">
        <f>SUM(T2:T14)</f>
        <v>0</v>
      </c>
      <c r="U15" s="89"/>
      <c r="V15" s="89"/>
      <c r="W15" s="171">
        <f>SUM(W2:W14)</f>
        <v>0</v>
      </c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2"/>
      <c r="DE15" s="89"/>
      <c r="DF15" s="89">
        <f>SUM(DF2:DF14)</f>
        <v>0</v>
      </c>
      <c r="DG15" s="89"/>
      <c r="DH15" s="89"/>
      <c r="DI15" s="89">
        <f>SUM(DI2:DI14)</f>
        <v>0</v>
      </c>
      <c r="DJ15" s="89"/>
      <c r="DK15" s="89"/>
      <c r="DL15" s="89">
        <f>SUM(DL2:DL14)</f>
        <v>0</v>
      </c>
      <c r="DM15" s="89"/>
      <c r="DN15" s="89"/>
      <c r="DO15" s="89">
        <f>SUM(DO2:DO14)</f>
        <v>0</v>
      </c>
      <c r="DP15" s="89"/>
      <c r="DQ15" s="89"/>
      <c r="DR15" s="89">
        <f>SUM(DR2:DR14)</f>
        <v>0</v>
      </c>
      <c r="DS15" s="89"/>
      <c r="DT15" s="89"/>
      <c r="DU15" s="89">
        <f>SUM(DU2:DU14)</f>
        <v>0</v>
      </c>
      <c r="DV15" s="89"/>
      <c r="DW15" s="89"/>
      <c r="DX15" s="89">
        <f>SUM(DX2:DX14)</f>
        <v>0</v>
      </c>
    </row>
    <row r="16" spans="1:128" x14ac:dyDescent="0.3">
      <c r="A16" t="s">
        <v>127</v>
      </c>
      <c r="C16" s="91">
        <f t="shared" ref="C16:W16" si="0">SUM(C2:C14)</f>
        <v>0</v>
      </c>
      <c r="D16" s="170">
        <f t="shared" si="0"/>
        <v>0</v>
      </c>
      <c r="E16" s="170">
        <f t="shared" si="0"/>
        <v>0</v>
      </c>
      <c r="F16" s="170">
        <f t="shared" si="0"/>
        <v>0</v>
      </c>
      <c r="G16" s="170">
        <f t="shared" si="0"/>
        <v>0</v>
      </c>
      <c r="H16" s="170">
        <f t="shared" si="0"/>
        <v>0</v>
      </c>
      <c r="I16" s="170">
        <f t="shared" si="0"/>
        <v>0</v>
      </c>
      <c r="J16" s="170">
        <f t="shared" si="0"/>
        <v>0</v>
      </c>
      <c r="K16" s="170">
        <f t="shared" si="0"/>
        <v>0</v>
      </c>
      <c r="L16" s="170">
        <f t="shared" si="0"/>
        <v>0</v>
      </c>
      <c r="M16" s="170">
        <f t="shared" si="0"/>
        <v>0</v>
      </c>
      <c r="N16" s="170">
        <f t="shared" si="0"/>
        <v>0</v>
      </c>
      <c r="O16" s="170">
        <f t="shared" si="0"/>
        <v>0</v>
      </c>
      <c r="P16" s="170">
        <f t="shared" si="0"/>
        <v>0</v>
      </c>
      <c r="Q16" s="170">
        <f t="shared" si="0"/>
        <v>0</v>
      </c>
      <c r="R16" s="170">
        <f t="shared" si="0"/>
        <v>0</v>
      </c>
      <c r="S16" s="170">
        <f t="shared" si="0"/>
        <v>0</v>
      </c>
      <c r="T16" s="170">
        <f t="shared" si="0"/>
        <v>0</v>
      </c>
      <c r="U16" s="170">
        <f t="shared" si="0"/>
        <v>0</v>
      </c>
      <c r="V16" s="170">
        <f t="shared" si="0"/>
        <v>0</v>
      </c>
      <c r="W16" s="170">
        <f t="shared" si="0"/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2" t="e">
        <f>SUM(DD2:DD14)+SUM(#REF!)</f>
        <v>#REF!</v>
      </c>
      <c r="DE16" s="162" t="e">
        <f>SUM(DE2:DE14)+SUM(#REF!)</f>
        <v>#REF!</v>
      </c>
      <c r="DF16" s="162" t="e">
        <f>SUM(DF2:DF14)+SUM(#REF!)</f>
        <v>#REF!</v>
      </c>
      <c r="DG16" s="162" t="e">
        <f>SUM(DG2:DG14)+SUM(#REF!)</f>
        <v>#REF!</v>
      </c>
      <c r="DH16" s="162" t="e">
        <f>SUM(DH2:DH14)+SUM(#REF!)</f>
        <v>#REF!</v>
      </c>
      <c r="DI16" s="162" t="e">
        <f>SUM(DI2:DI14)+SUM(#REF!)</f>
        <v>#REF!</v>
      </c>
      <c r="DJ16" s="162" t="e">
        <f>SUM(DJ2:DJ14)+SUM(#REF!)</f>
        <v>#REF!</v>
      </c>
      <c r="DK16" s="162" t="e">
        <f>SUM(DK2:DK14)+SUM(#REF!)</f>
        <v>#REF!</v>
      </c>
      <c r="DL16" s="162" t="e">
        <f>SUM(DL2:DL14)+SUM(#REF!)</f>
        <v>#REF!</v>
      </c>
      <c r="DM16" s="162" t="e">
        <f>SUM(DM2:DM14)+SUM(#REF!)</f>
        <v>#REF!</v>
      </c>
      <c r="DN16" s="162" t="e">
        <f>SUM(DN2:DN14)+SUM(#REF!)</f>
        <v>#REF!</v>
      </c>
      <c r="DO16" s="162" t="e">
        <f>SUM(DO2:DO14)+SUM(#REF!)</f>
        <v>#REF!</v>
      </c>
      <c r="DP16" s="162" t="e">
        <f>SUM(DP2:DP14)+SUM(#REF!)</f>
        <v>#REF!</v>
      </c>
      <c r="DQ16" s="162" t="e">
        <f>SUM(DQ2:DQ14)+SUM(#REF!)</f>
        <v>#REF!</v>
      </c>
      <c r="DR16" s="162" t="e">
        <f>SUM(DR2:DR14)+SUM(#REF!)</f>
        <v>#REF!</v>
      </c>
      <c r="DS16" s="162" t="e">
        <f>SUM(DS2:DS14)+SUM(#REF!)</f>
        <v>#REF!</v>
      </c>
      <c r="DT16" s="162" t="e">
        <f>SUM(DT2:DT14)+SUM(#REF!)</f>
        <v>#REF!</v>
      </c>
      <c r="DU16" s="162" t="e">
        <f>SUM(DU2:DU14)+SUM(#REF!)</f>
        <v>#REF!</v>
      </c>
      <c r="DV16" s="162" t="e">
        <f>SUM(DV2:DV14)+SUM(#REF!)</f>
        <v>#REF!</v>
      </c>
      <c r="DW16" s="162" t="e">
        <f>SUM(DW2:DW14)+SUM(#REF!)</f>
        <v>#REF!</v>
      </c>
      <c r="DX16" s="162" t="e">
        <f>SUM(DX2:DX14)+SUM(#REF!)</f>
        <v>#REF!</v>
      </c>
    </row>
  </sheetData>
  <conditionalFormatting sqref="O2:CK14">
    <cfRule type="expression" dxfId="3" priority="3">
      <formula>O2&lt;L2*0.98</formula>
    </cfRule>
    <cfRule type="expression" dxfId="2" priority="4">
      <formula>O2&gt;L2*1.02</formula>
    </cfRule>
  </conditionalFormatting>
  <conditionalFormatting sqref="H2:N14">
    <cfRule type="expression" dxfId="1" priority="1">
      <formula>H2&lt;E2*0.95</formula>
    </cfRule>
    <cfRule type="expression" dxfId="0" priority="2">
      <formula>H2&gt;E2*1.05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4.4" x14ac:dyDescent="0.3"/>
  <cols>
    <col min="1" max="1" width="15.44140625" customWidth="1"/>
    <col min="2" max="2" width="48.5546875" customWidth="1"/>
    <col min="3" max="3" width="17.5546875" hidden="1" customWidth="1"/>
    <col min="4" max="4" width="16.5546875" hidden="1" customWidth="1"/>
    <col min="5" max="5" width="10.44140625" hidden="1" customWidth="1"/>
    <col min="6" max="6" width="19.109375" customWidth="1"/>
    <col min="7" max="7" width="5.44140625" customWidth="1"/>
    <col min="8" max="8" width="14" customWidth="1"/>
    <col min="9" max="9" width="16.5546875" customWidth="1"/>
    <col min="11" max="11" width="11.109375" bestFit="1" customWidth="1"/>
  </cols>
  <sheetData>
    <row r="1" spans="1:11" x14ac:dyDescent="0.3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4" x14ac:dyDescent="0.45">
      <c r="A2" s="92"/>
      <c r="B2" s="93" t="s">
        <v>121</v>
      </c>
      <c r="C2" s="92"/>
      <c r="D2" s="92"/>
      <c r="E2" s="92"/>
      <c r="F2" s="92"/>
      <c r="G2" s="92"/>
      <c r="H2" s="94" t="s">
        <v>12</v>
      </c>
      <c r="I2" s="95">
        <f>'DOC Invoice'!J2</f>
        <v>11</v>
      </c>
    </row>
    <row r="3" spans="1:11" x14ac:dyDescent="0.3">
      <c r="A3" s="92"/>
      <c r="B3" s="92"/>
      <c r="C3" s="92"/>
      <c r="D3" s="92"/>
      <c r="E3" s="92"/>
      <c r="F3" s="92"/>
      <c r="G3" s="92"/>
      <c r="H3" s="92"/>
      <c r="I3" s="96">
        <f>'DOC Invoice'!J3+14</f>
        <v>45153</v>
      </c>
      <c r="K3" t="s">
        <v>130</v>
      </c>
    </row>
    <row r="4" spans="1:11" x14ac:dyDescent="0.3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45159</v>
      </c>
      <c r="K4" s="168" t="e">
        <f>F10+F15+F19+F21+F23+F24+F26+F28+F33</f>
        <v>#REF!</v>
      </c>
    </row>
    <row r="5" spans="1:11" ht="17.399999999999999" hidden="1" x14ac:dyDescent="0.3">
      <c r="A5" s="92"/>
      <c r="B5" s="92"/>
      <c r="C5" s="98"/>
      <c r="D5" s="98"/>
      <c r="E5" s="98"/>
      <c r="F5" s="98"/>
      <c r="G5" s="98"/>
      <c r="H5" s="98"/>
      <c r="I5" s="99"/>
    </row>
    <row r="6" spans="1:11" ht="18" x14ac:dyDescent="0.35">
      <c r="A6" s="100" t="str">
        <f>"Period Starting "&amp;TEXT(I3,"MMMM-DD-YYYY")&amp;" to "&amp;TEXT(I4,"MMMM-DD-YYYY")</f>
        <v>Period Starting August-15-2023 to August-21-2023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" thickBot="1" x14ac:dyDescent="0.35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5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" x14ac:dyDescent="0.35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" x14ac:dyDescent="0.35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" x14ac:dyDescent="0.35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" x14ac:dyDescent="0.35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" x14ac:dyDescent="0.35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" x14ac:dyDescent="0.35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" x14ac:dyDescent="0.35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" x14ac:dyDescent="0.35">
      <c r="A16" s="125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" x14ac:dyDescent="0.35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" x14ac:dyDescent="0.35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" x14ac:dyDescent="0.35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" x14ac:dyDescent="0.35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" x14ac:dyDescent="0.35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" x14ac:dyDescent="0.35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" x14ac:dyDescent="0.35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" x14ac:dyDescent="0.35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" x14ac:dyDescent="0.35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" x14ac:dyDescent="0.35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" x14ac:dyDescent="0.35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" x14ac:dyDescent="0.35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" x14ac:dyDescent="0.35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" x14ac:dyDescent="0.35">
      <c r="A30" s="126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" x14ac:dyDescent="0.35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" x14ac:dyDescent="0.35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" x14ac:dyDescent="0.35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" x14ac:dyDescent="0.35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3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" thickBot="1" x14ac:dyDescent="0.35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5.6" thickTop="1" thickBot="1" x14ac:dyDescent="0.35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3">
      <c r="B38" s="12"/>
      <c r="C38" s="13"/>
      <c r="D38" s="13"/>
      <c r="E38" s="13"/>
      <c r="F38" s="13"/>
      <c r="G38" s="13"/>
      <c r="H38" s="13"/>
      <c r="I38" s="13"/>
    </row>
    <row r="39" spans="1:9" ht="16.2" x14ac:dyDescent="0.3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3">
      <c r="B40" s="18"/>
      <c r="C40" s="19"/>
      <c r="D40" s="19"/>
      <c r="E40" s="19"/>
      <c r="F40" s="19"/>
      <c r="G40" s="19"/>
      <c r="H40" s="19"/>
      <c r="I40" s="19"/>
    </row>
    <row r="41" spans="1:9" x14ac:dyDescent="0.3">
      <c r="B41" s="4"/>
      <c r="C41" s="22"/>
      <c r="D41" s="23"/>
      <c r="E41" s="23"/>
      <c r="F41" s="23"/>
      <c r="G41" s="23"/>
      <c r="H41" s="23"/>
      <c r="I41" s="22"/>
    </row>
    <row r="42" spans="1:9" x14ac:dyDescent="0.3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4.4" x14ac:dyDescent="0.3"/>
  <cols>
    <col min="1" max="1" width="15.44140625" customWidth="1"/>
    <col min="2" max="2" width="48.5546875" customWidth="1"/>
    <col min="3" max="3" width="17.5546875" hidden="1" customWidth="1"/>
    <col min="4" max="4" width="16.5546875" hidden="1" customWidth="1"/>
    <col min="5" max="5" width="10.44140625" hidden="1" customWidth="1"/>
    <col min="6" max="6" width="19.109375" customWidth="1"/>
    <col min="7" max="7" width="5.5546875" customWidth="1"/>
    <col min="8" max="8" width="14" customWidth="1"/>
    <col min="9" max="9" width="16.5546875" customWidth="1"/>
    <col min="11" max="11" width="11.109375" bestFit="1" customWidth="1"/>
  </cols>
  <sheetData>
    <row r="1" spans="1:11" x14ac:dyDescent="0.3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4" x14ac:dyDescent="0.45">
      <c r="A2" s="92"/>
      <c r="B2" s="93" t="s">
        <v>122</v>
      </c>
      <c r="C2" s="92"/>
      <c r="D2" s="92"/>
      <c r="E2" s="92"/>
      <c r="F2" s="92"/>
      <c r="G2" s="92"/>
      <c r="H2" s="94" t="s">
        <v>12</v>
      </c>
      <c r="I2" s="95">
        <f>'DOC Invoice'!J2</f>
        <v>11</v>
      </c>
    </row>
    <row r="3" spans="1:11" x14ac:dyDescent="0.3">
      <c r="A3" s="92"/>
      <c r="B3" s="92"/>
      <c r="C3" s="92"/>
      <c r="D3" s="92"/>
      <c r="E3" s="92"/>
      <c r="F3" s="92"/>
      <c r="G3" s="92"/>
      <c r="H3" s="92"/>
      <c r="I3" s="96">
        <f>'DOC Invoice'!J3+21</f>
        <v>45160</v>
      </c>
      <c r="K3" t="s">
        <v>130</v>
      </c>
    </row>
    <row r="4" spans="1:11" x14ac:dyDescent="0.3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45166</v>
      </c>
      <c r="K4" s="168" t="e">
        <f>F10+F15+F19+F21+F23+F24+F26+F28+F33</f>
        <v>#REF!</v>
      </c>
    </row>
    <row r="5" spans="1:11" ht="17.399999999999999" hidden="1" x14ac:dyDescent="0.3">
      <c r="A5" s="92"/>
      <c r="B5" s="92"/>
      <c r="C5" s="98"/>
      <c r="D5" s="98"/>
      <c r="E5" s="98"/>
      <c r="F5" s="98"/>
      <c r="G5" s="98"/>
      <c r="H5" s="98"/>
      <c r="I5" s="99"/>
    </row>
    <row r="6" spans="1:11" ht="18" x14ac:dyDescent="0.35">
      <c r="A6" s="100" t="str">
        <f>"Period Starting "&amp;TEXT(I3,"MMMM-DD-YYYY")&amp;" to "&amp;TEXT(I4,"MMMM-DD-YYYY")</f>
        <v>Period Starting August-22-2023 to August-28-2023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" thickBot="1" x14ac:dyDescent="0.35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5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" x14ac:dyDescent="0.35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" x14ac:dyDescent="0.35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" x14ac:dyDescent="0.35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" x14ac:dyDescent="0.35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" x14ac:dyDescent="0.35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" x14ac:dyDescent="0.35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" x14ac:dyDescent="0.35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" x14ac:dyDescent="0.35">
      <c r="A16" s="125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" x14ac:dyDescent="0.35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" x14ac:dyDescent="0.35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" x14ac:dyDescent="0.35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" x14ac:dyDescent="0.35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" x14ac:dyDescent="0.35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" x14ac:dyDescent="0.35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" x14ac:dyDescent="0.35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" x14ac:dyDescent="0.35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" x14ac:dyDescent="0.35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" x14ac:dyDescent="0.35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" x14ac:dyDescent="0.35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" x14ac:dyDescent="0.35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" x14ac:dyDescent="0.35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" x14ac:dyDescent="0.35">
      <c r="A30" s="126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" x14ac:dyDescent="0.35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" x14ac:dyDescent="0.35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" x14ac:dyDescent="0.35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" x14ac:dyDescent="0.35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3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" thickBot="1" x14ac:dyDescent="0.35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5.6" thickTop="1" thickBot="1" x14ac:dyDescent="0.35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3">
      <c r="B38" s="12"/>
      <c r="C38" s="13"/>
      <c r="D38" s="13"/>
      <c r="E38" s="13"/>
      <c r="F38" s="13"/>
      <c r="G38" s="13"/>
      <c r="H38" s="13"/>
      <c r="I38" s="13"/>
    </row>
    <row r="39" spans="1:9" ht="16.2" x14ac:dyDescent="0.3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3">
      <c r="B40" s="18"/>
      <c r="C40" s="19"/>
      <c r="D40" s="19"/>
      <c r="E40" s="19"/>
      <c r="F40" s="19"/>
      <c r="G40" s="19"/>
      <c r="H40" s="19"/>
      <c r="I40" s="19"/>
    </row>
    <row r="41" spans="1:9" x14ac:dyDescent="0.3">
      <c r="B41" s="4"/>
      <c r="C41" s="22"/>
      <c r="D41" s="23"/>
      <c r="E41" s="23"/>
      <c r="F41" s="23"/>
      <c r="G41" s="23"/>
      <c r="H41" s="23"/>
      <c r="I41" s="22"/>
    </row>
    <row r="42" spans="1:9" x14ac:dyDescent="0.3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2"/>
  <sheetViews>
    <sheetView showGridLines="0" zoomScaleNormal="100" workbookViewId="0">
      <selection activeCell="G9" sqref="G9"/>
    </sheetView>
  </sheetViews>
  <sheetFormatPr defaultRowHeight="14.4" x14ac:dyDescent="0.3"/>
  <cols>
    <col min="1" max="1" width="15.44140625" customWidth="1"/>
    <col min="2" max="2" width="48.5546875" customWidth="1"/>
    <col min="3" max="3" width="17.5546875" hidden="1" customWidth="1"/>
    <col min="4" max="4" width="16.5546875" hidden="1" customWidth="1"/>
    <col min="5" max="5" width="10.44140625" hidden="1" customWidth="1"/>
    <col min="6" max="6" width="19.109375" customWidth="1"/>
    <col min="7" max="7" width="5.44140625" customWidth="1"/>
    <col min="8" max="8" width="14" customWidth="1"/>
    <col min="9" max="9" width="16.5546875" customWidth="1"/>
    <col min="11" max="11" width="11.109375" bestFit="1" customWidth="1"/>
  </cols>
  <sheetData>
    <row r="1" spans="1:11" x14ac:dyDescent="0.3">
      <c r="A1" s="92"/>
      <c r="B1" s="92"/>
      <c r="C1" s="92"/>
      <c r="D1" s="92"/>
      <c r="E1" s="92"/>
      <c r="F1" s="92"/>
      <c r="G1" s="92"/>
      <c r="H1" s="92"/>
      <c r="I1" s="92"/>
      <c r="K1" t="s">
        <v>131</v>
      </c>
    </row>
    <row r="2" spans="1:11" ht="23.4" x14ac:dyDescent="0.45">
      <c r="A2" s="92"/>
      <c r="B2" s="93" t="s">
        <v>123</v>
      </c>
      <c r="C2" s="92"/>
      <c r="D2" s="92"/>
      <c r="E2" s="92"/>
      <c r="F2" s="92"/>
      <c r="G2" s="92"/>
      <c r="H2" s="94" t="s">
        <v>12</v>
      </c>
      <c r="I2" s="95">
        <f>'DOC Invoice'!J2</f>
        <v>11</v>
      </c>
    </row>
    <row r="3" spans="1:11" x14ac:dyDescent="0.3">
      <c r="A3" s="92"/>
      <c r="B3" s="92"/>
      <c r="C3" s="92"/>
      <c r="D3" s="92"/>
      <c r="E3" s="92"/>
      <c r="F3" s="92"/>
      <c r="G3" s="92"/>
      <c r="H3" s="92"/>
      <c r="I3" s="96">
        <f>'DOC Invoice'!J3+28</f>
        <v>45167</v>
      </c>
      <c r="K3" t="s">
        <v>130</v>
      </c>
    </row>
    <row r="4" spans="1:11" x14ac:dyDescent="0.3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45173</v>
      </c>
      <c r="K4" s="168" t="e">
        <f>F10+F15+F19+F21+F23+F24+F26+F28+F33</f>
        <v>#REF!</v>
      </c>
    </row>
    <row r="5" spans="1:11" ht="17.399999999999999" hidden="1" x14ac:dyDescent="0.3">
      <c r="A5" s="92"/>
      <c r="B5" s="92"/>
      <c r="C5" s="98"/>
      <c r="D5" s="98"/>
      <c r="E5" s="98"/>
      <c r="F5" s="98"/>
      <c r="G5" s="98"/>
      <c r="H5" s="98"/>
      <c r="I5" s="99"/>
    </row>
    <row r="6" spans="1:11" ht="18" x14ac:dyDescent="0.35">
      <c r="A6" s="100" t="str">
        <f>"Period Starting "&amp;TEXT(I3,"MMMM-DD-YYYY")&amp;" to "&amp;TEXT(I4,"MMMM-DD-YYYY")</f>
        <v>Period Starting August-29-2023 to September-04-2023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11" ht="18" thickBot="1" x14ac:dyDescent="0.35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  <c r="K7" t="s">
        <v>132</v>
      </c>
    </row>
    <row r="8" spans="1:11" ht="18.75" customHeight="1" thickBot="1" x14ac:dyDescent="0.35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  <c r="K8" s="168" t="e">
        <f>F9+F13+F14+F18+F20+F22+F25+F32</f>
        <v>#REF!</v>
      </c>
    </row>
    <row r="9" spans="1:11" ht="18" x14ac:dyDescent="0.35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11" ht="18" x14ac:dyDescent="0.35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  <c r="K10" t="s">
        <v>133</v>
      </c>
    </row>
    <row r="11" spans="1:11" ht="18" x14ac:dyDescent="0.35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  <c r="K11" s="168" t="e">
        <f>F11+F12+F16+F17+F27+F29+F30+F31+F34</f>
        <v>#REF!</v>
      </c>
    </row>
    <row r="12" spans="1:11" ht="18" x14ac:dyDescent="0.35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11" ht="18" x14ac:dyDescent="0.35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11" ht="18" x14ac:dyDescent="0.35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11" ht="18" x14ac:dyDescent="0.35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11" ht="18" x14ac:dyDescent="0.35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" x14ac:dyDescent="0.35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" x14ac:dyDescent="0.35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" x14ac:dyDescent="0.35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" x14ac:dyDescent="0.35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" x14ac:dyDescent="0.35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" x14ac:dyDescent="0.35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" x14ac:dyDescent="0.35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" x14ac:dyDescent="0.35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" x14ac:dyDescent="0.35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" x14ac:dyDescent="0.35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" x14ac:dyDescent="0.35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" x14ac:dyDescent="0.35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" x14ac:dyDescent="0.35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" x14ac:dyDescent="0.35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" x14ac:dyDescent="0.35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" x14ac:dyDescent="0.35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" x14ac:dyDescent="0.35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" x14ac:dyDescent="0.35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3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" thickBot="1" x14ac:dyDescent="0.35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5.6" thickTop="1" thickBot="1" x14ac:dyDescent="0.35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3">
      <c r="B38" s="12"/>
      <c r="C38" s="13"/>
      <c r="D38" s="13"/>
      <c r="E38" s="13"/>
      <c r="F38" s="13"/>
      <c r="G38" s="13"/>
      <c r="H38" s="13"/>
      <c r="I38" s="13"/>
    </row>
    <row r="39" spans="1:9" ht="16.2" x14ac:dyDescent="0.3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3">
      <c r="B40" s="18"/>
      <c r="C40" s="19"/>
      <c r="D40" s="19"/>
      <c r="E40" s="19"/>
      <c r="F40" s="19"/>
      <c r="G40" s="19"/>
      <c r="H40" s="19"/>
      <c r="I40" s="19"/>
    </row>
    <row r="41" spans="1:9" x14ac:dyDescent="0.3">
      <c r="B41" s="4"/>
      <c r="C41" s="22"/>
      <c r="D41" s="23"/>
      <c r="E41" s="23"/>
      <c r="F41" s="23"/>
      <c r="G41" s="23"/>
      <c r="H41" s="23"/>
      <c r="I41" s="22"/>
    </row>
    <row r="42" spans="1:9" x14ac:dyDescent="0.3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42"/>
  <sheetViews>
    <sheetView showGridLines="0" zoomScaleNormal="100" workbookViewId="0">
      <selection activeCell="G9" sqref="G9"/>
    </sheetView>
  </sheetViews>
  <sheetFormatPr defaultRowHeight="14.4" x14ac:dyDescent="0.3"/>
  <cols>
    <col min="1" max="1" width="15.44140625" customWidth="1"/>
    <col min="2" max="2" width="48.5546875" customWidth="1"/>
    <col min="3" max="3" width="17.5546875" hidden="1" customWidth="1"/>
    <col min="4" max="4" width="16.5546875" hidden="1" customWidth="1"/>
    <col min="5" max="5" width="10.44140625" hidden="1" customWidth="1"/>
    <col min="6" max="6" width="19.109375" customWidth="1"/>
    <col min="7" max="7" width="6.5546875" customWidth="1"/>
    <col min="8" max="8" width="14" customWidth="1"/>
    <col min="9" max="9" width="16.5546875" customWidth="1"/>
    <col min="11" max="11" width="10.5546875" bestFit="1" customWidth="1"/>
  </cols>
  <sheetData>
    <row r="1" spans="1:9" x14ac:dyDescent="0.3">
      <c r="A1" s="92"/>
      <c r="B1" s="92"/>
      <c r="C1" s="92"/>
      <c r="D1" s="92"/>
      <c r="E1" s="92"/>
      <c r="F1" s="92"/>
      <c r="G1" s="92"/>
      <c r="H1" s="92"/>
      <c r="I1" s="92"/>
    </row>
    <row r="2" spans="1:9" ht="23.4" x14ac:dyDescent="0.45">
      <c r="A2" s="92"/>
      <c r="B2" s="93" t="s">
        <v>124</v>
      </c>
      <c r="C2" s="92"/>
      <c r="D2" s="92"/>
      <c r="E2" s="92"/>
      <c r="F2" s="92"/>
      <c r="G2" s="92"/>
      <c r="H2" s="94" t="s">
        <v>12</v>
      </c>
      <c r="I2" s="95">
        <f>'DOC Invoice'!J2</f>
        <v>11</v>
      </c>
    </row>
    <row r="3" spans="1:9" x14ac:dyDescent="0.3">
      <c r="A3" s="92"/>
      <c r="B3" s="92"/>
      <c r="C3" s="92"/>
      <c r="D3" s="92"/>
      <c r="E3" s="92"/>
      <c r="F3" s="92"/>
      <c r="G3" s="92"/>
      <c r="H3" s="92"/>
      <c r="I3" s="96">
        <f>'DOC Invoice'!J3+35</f>
        <v>45174</v>
      </c>
    </row>
    <row r="4" spans="1:9" x14ac:dyDescent="0.3">
      <c r="A4" s="92"/>
      <c r="B4" s="92"/>
      <c r="C4" s="92"/>
      <c r="D4" s="92"/>
      <c r="E4" s="92"/>
      <c r="F4" s="92"/>
      <c r="G4" s="92"/>
      <c r="H4" s="97" t="s">
        <v>15</v>
      </c>
      <c r="I4" s="96">
        <f>I3+6</f>
        <v>45180</v>
      </c>
    </row>
    <row r="5" spans="1:9" ht="17.399999999999999" hidden="1" x14ac:dyDescent="0.3">
      <c r="A5" s="92"/>
      <c r="B5" s="92"/>
      <c r="C5" s="98"/>
      <c r="D5" s="98"/>
      <c r="E5" s="98"/>
      <c r="F5" s="98"/>
      <c r="G5" s="98"/>
      <c r="H5" s="98"/>
      <c r="I5" s="99"/>
    </row>
    <row r="6" spans="1:9" ht="18" x14ac:dyDescent="0.35">
      <c r="A6" s="100" t="str">
        <f>"Period Starting "&amp;TEXT(I3,"MMMM-DD-YYYY")&amp;" to "&amp;TEXT(I4,"MMMM-DD-YYYY")</f>
        <v>Period Starting September-05-2023 to September-11-2023</v>
      </c>
      <c r="B6" s="92"/>
      <c r="C6" s="98"/>
      <c r="D6" s="98"/>
      <c r="E6" s="98"/>
      <c r="F6" s="101" t="s">
        <v>128</v>
      </c>
      <c r="G6" s="101" t="s">
        <v>129</v>
      </c>
      <c r="H6" s="98"/>
      <c r="I6" s="102"/>
    </row>
    <row r="7" spans="1:9" ht="18" thickBot="1" x14ac:dyDescent="0.35">
      <c r="A7" s="92"/>
      <c r="B7" s="103"/>
      <c r="C7" s="98"/>
      <c r="D7" s="98"/>
      <c r="E7" s="98"/>
      <c r="F7" s="104">
        <v>3.7650000000000001</v>
      </c>
      <c r="G7" s="105">
        <v>0.06</v>
      </c>
      <c r="H7" s="98"/>
      <c r="I7" s="106"/>
    </row>
    <row r="8" spans="1:9" ht="18.75" customHeight="1" thickBot="1" x14ac:dyDescent="0.35">
      <c r="A8" s="107" t="s">
        <v>8</v>
      </c>
      <c r="B8" s="108" t="s">
        <v>39</v>
      </c>
      <c r="C8" s="109"/>
      <c r="D8" s="109"/>
      <c r="E8" s="110" t="s">
        <v>118</v>
      </c>
      <c r="F8" s="111" t="s">
        <v>89</v>
      </c>
      <c r="G8" s="112" t="s">
        <v>87</v>
      </c>
      <c r="H8" s="110" t="s">
        <v>119</v>
      </c>
      <c r="I8" s="113" t="s">
        <v>40</v>
      </c>
    </row>
    <row r="9" spans="1:9" ht="18" x14ac:dyDescent="0.35">
      <c r="A9" s="102" t="str">
        <f>Bledsoe!$J$8</f>
        <v>000010563</v>
      </c>
      <c r="B9" s="114" t="str">
        <f>Bledsoe!G6</f>
        <v>Bledsoe County Correctional Complex</v>
      </c>
      <c r="C9" s="71"/>
      <c r="D9" s="72"/>
      <c r="E9" s="84" t="s">
        <v>92</v>
      </c>
      <c r="F9" s="74" t="e">
        <f>Bledsoe!#REF!</f>
        <v>#REF!</v>
      </c>
      <c r="G9" s="74" t="e">
        <f>Bledsoe!#REF!</f>
        <v>#REF!</v>
      </c>
      <c r="H9" s="73" t="e">
        <f>I9/7</f>
        <v>#REF!</v>
      </c>
      <c r="I9" s="73" t="e">
        <f>Bledsoe!#REF!</f>
        <v>#REF!</v>
      </c>
    </row>
    <row r="10" spans="1:9" ht="18" x14ac:dyDescent="0.35">
      <c r="A10" s="102" t="str">
        <f>Luttrell!$I$8</f>
        <v>000010564</v>
      </c>
      <c r="B10" s="115" t="str">
        <f>Luttrell!G6</f>
        <v>Mark Luttrell Correctional Center</v>
      </c>
      <c r="C10" s="75"/>
      <c r="D10" s="76"/>
      <c r="E10" s="85" t="s">
        <v>93</v>
      </c>
      <c r="F10" s="78" t="e">
        <f>Luttrell!#REF!</f>
        <v>#REF!</v>
      </c>
      <c r="G10" s="78" t="e">
        <f>Luttrell!#REF!</f>
        <v>#REF!</v>
      </c>
      <c r="H10" s="77" t="e">
        <f t="shared" ref="H10:H34" si="0">I10/7</f>
        <v>#REF!</v>
      </c>
      <c r="I10" s="77" t="e">
        <f>Luttrell!#REF!</f>
        <v>#REF!</v>
      </c>
    </row>
    <row r="11" spans="1:9" ht="18" x14ac:dyDescent="0.35">
      <c r="A11" s="102" t="str">
        <f>'Northeast Carter Co Annex'!$G$8</f>
        <v>000010565</v>
      </c>
      <c r="B11" s="116" t="str">
        <f>'Northeast Carter Co Annex'!E6</f>
        <v>Northeast Carter County Annex</v>
      </c>
      <c r="C11" s="75"/>
      <c r="D11" s="76"/>
      <c r="E11" s="85" t="s">
        <v>94</v>
      </c>
      <c r="F11" s="78" t="e">
        <f>'Northeast Carter Co Annex'!#REF!</f>
        <v>#REF!</v>
      </c>
      <c r="G11" s="78" t="e">
        <f>'Northeast Carter Co Annex'!#REF!</f>
        <v>#REF!</v>
      </c>
      <c r="H11" s="77" t="e">
        <f t="shared" si="0"/>
        <v>#REF!</v>
      </c>
      <c r="I11" s="77" t="e">
        <f>'Northeast Carter Co Annex'!#REF!</f>
        <v>#REF!</v>
      </c>
    </row>
    <row r="12" spans="1:9" ht="18" x14ac:dyDescent="0.35">
      <c r="A12" s="102" t="str">
        <f>Northwest!$I$8</f>
        <v>000010566</v>
      </c>
      <c r="B12" s="116" t="str">
        <f>Northwest!G6</f>
        <v>Northwest Correctional Complex</v>
      </c>
      <c r="C12" s="75"/>
      <c r="D12" s="76"/>
      <c r="E12" s="85" t="s">
        <v>95</v>
      </c>
      <c r="F12" s="78" t="e">
        <f>Northwest!#REF!</f>
        <v>#REF!</v>
      </c>
      <c r="G12" s="78" t="e">
        <f>Northwest!#REF!</f>
        <v>#REF!</v>
      </c>
      <c r="H12" s="77" t="e">
        <f t="shared" si="0"/>
        <v>#REF!</v>
      </c>
      <c r="I12" s="77" t="e">
        <f>Northwest!#REF!</f>
        <v>#REF!</v>
      </c>
    </row>
    <row r="13" spans="1:9" ht="18" x14ac:dyDescent="0.35">
      <c r="A13" s="102" t="str">
        <f>'TN Corrections Academy'!$I$8</f>
        <v>000010567</v>
      </c>
      <c r="B13" s="116" t="str">
        <f>'TN Corrections Academy'!G6</f>
        <v>Tennessee Corrections Academy</v>
      </c>
      <c r="C13" s="75"/>
      <c r="D13" s="76"/>
      <c r="E13" s="85" t="s">
        <v>96</v>
      </c>
      <c r="F13" s="78" t="e">
        <f>'TN Corrections Academy'!#REF!</f>
        <v>#REF!</v>
      </c>
      <c r="G13" s="78" t="e">
        <f>'TN Corrections Academy'!#REF!</f>
        <v>#REF!</v>
      </c>
      <c r="H13" s="77" t="e">
        <f t="shared" si="0"/>
        <v>#REF!</v>
      </c>
      <c r="I13" s="77" t="e">
        <f>'TN Corrections Academy'!#REF!</f>
        <v>#REF!</v>
      </c>
    </row>
    <row r="14" spans="1:9" ht="18" x14ac:dyDescent="0.35">
      <c r="A14" s="102" t="str">
        <f>'Turney Annex'!$I$8</f>
        <v>000010569</v>
      </c>
      <c r="B14" s="116" t="str">
        <f>'Turney Annex'!G6</f>
        <v>Turney Center Industrial Complex Annex</v>
      </c>
      <c r="C14" s="75"/>
      <c r="D14" s="76"/>
      <c r="E14" s="85" t="s">
        <v>97</v>
      </c>
      <c r="F14" s="78" t="e">
        <f>'Turney Annex'!#REF!</f>
        <v>#REF!</v>
      </c>
      <c r="G14" s="78" t="e">
        <f>'Turney Annex'!#REF!</f>
        <v>#REF!</v>
      </c>
      <c r="H14" s="77" t="e">
        <f t="shared" si="0"/>
        <v>#REF!</v>
      </c>
      <c r="I14" s="77" t="e">
        <f>'Turney Annex'!#REF!</f>
        <v>#REF!</v>
      </c>
    </row>
    <row r="15" spans="1:9" ht="18" x14ac:dyDescent="0.35">
      <c r="A15" s="102" t="str">
        <f>'West TN State'!$I$8</f>
        <v>000010570</v>
      </c>
      <c r="B15" s="115" t="str">
        <f>'West TN State'!G6</f>
        <v>West Tennessee State Penitentiary</v>
      </c>
      <c r="C15" s="75"/>
      <c r="D15" s="76"/>
      <c r="E15" s="85" t="s">
        <v>98</v>
      </c>
      <c r="F15" s="78" t="e">
        <f>'West TN State'!#REF!</f>
        <v>#REF!</v>
      </c>
      <c r="G15" s="78" t="e">
        <f>'West TN State'!#REF!</f>
        <v>#REF!</v>
      </c>
      <c r="H15" s="77" t="e">
        <f t="shared" si="0"/>
        <v>#REF!</v>
      </c>
      <c r="I15" s="77" t="e">
        <f>'West TN State'!#REF!</f>
        <v>#REF!</v>
      </c>
    </row>
    <row r="16" spans="1:9" ht="18" x14ac:dyDescent="0.35">
      <c r="A16" s="117" t="s">
        <v>91</v>
      </c>
      <c r="B16" s="115" t="s">
        <v>90</v>
      </c>
      <c r="C16" s="75"/>
      <c r="D16" s="76"/>
      <c r="E16" s="85" t="s">
        <v>99</v>
      </c>
      <c r="F16" s="78" t="e">
        <f>#REF!</f>
        <v>#REF!</v>
      </c>
      <c r="G16" s="78" t="e">
        <f>#REF!</f>
        <v>#REF!</v>
      </c>
      <c r="H16" s="77" t="e">
        <f t="shared" si="0"/>
        <v>#REF!</v>
      </c>
      <c r="I16" s="77" t="e">
        <f>#REF!</f>
        <v>#REF!</v>
      </c>
    </row>
    <row r="17" spans="1:9" ht="18" x14ac:dyDescent="0.35">
      <c r="A17" s="102" t="str">
        <f>DeBerry!$I$8</f>
        <v>000010571</v>
      </c>
      <c r="B17" s="116" t="str">
        <f>DeBerry!G6</f>
        <v>DeBerry Special Needs Facility</v>
      </c>
      <c r="C17" s="75"/>
      <c r="D17" s="76"/>
      <c r="E17" s="85" t="s">
        <v>100</v>
      </c>
      <c r="F17" s="78" t="e">
        <f>DeBerry!#REF!</f>
        <v>#REF!</v>
      </c>
      <c r="G17" s="78" t="e">
        <f>DeBerry!#REF!</f>
        <v>#REF!</v>
      </c>
      <c r="H17" s="77" t="e">
        <f t="shared" si="0"/>
        <v>#REF!</v>
      </c>
      <c r="I17" s="77" t="e">
        <f>DeBerry!#REF!</f>
        <v>#REF!</v>
      </c>
    </row>
    <row r="18" spans="1:9" ht="18" x14ac:dyDescent="0.35">
      <c r="A18" s="102" t="str">
        <f>Morgan!$I$8</f>
        <v>000010572</v>
      </c>
      <c r="B18" s="115" t="str">
        <f>Morgan!G6</f>
        <v>Morgan County Correctional Complex</v>
      </c>
      <c r="C18" s="75"/>
      <c r="D18" s="76"/>
      <c r="E18" s="85" t="s">
        <v>101</v>
      </c>
      <c r="F18" s="78" t="e">
        <f>Morgan!#REF!</f>
        <v>#REF!</v>
      </c>
      <c r="G18" s="78" t="e">
        <f>Morgan!#REF!</f>
        <v>#REF!</v>
      </c>
      <c r="H18" s="77" t="e">
        <f t="shared" si="0"/>
        <v>#REF!</v>
      </c>
      <c r="I18" s="77" t="e">
        <f>Morgan!#REF!</f>
        <v>#REF!</v>
      </c>
    </row>
    <row r="19" spans="1:9" ht="18" x14ac:dyDescent="0.35">
      <c r="A19" s="102" t="str">
        <f>Northeast!$I$8</f>
        <v>000010573</v>
      </c>
      <c r="B19" s="115" t="str">
        <f>Northeast!G6</f>
        <v>Northeast Correctional Complex</v>
      </c>
      <c r="C19" s="75"/>
      <c r="D19" s="76"/>
      <c r="E19" s="85" t="s">
        <v>102</v>
      </c>
      <c r="F19" s="78" t="e">
        <f>Northeast!#REF!</f>
        <v>#REF!</v>
      </c>
      <c r="G19" s="78" t="e">
        <f>Northeast!#REF!</f>
        <v>#REF!</v>
      </c>
      <c r="H19" s="77" t="e">
        <f t="shared" si="0"/>
        <v>#REF!</v>
      </c>
      <c r="I19" s="77" t="e">
        <f>Northeast!#REF!</f>
        <v>#REF!</v>
      </c>
    </row>
    <row r="20" spans="1:9" ht="18" x14ac:dyDescent="0.35">
      <c r="A20" s="102" t="str">
        <f>Riverbend!$I$8</f>
        <v>000010574</v>
      </c>
      <c r="B20" s="118" t="str">
        <f>Riverbend!G6</f>
        <v>Riverbend Maximum Security Institution</v>
      </c>
      <c r="C20" s="75"/>
      <c r="D20" s="76"/>
      <c r="E20" s="85" t="s">
        <v>103</v>
      </c>
      <c r="F20" s="78" t="e">
        <f>Riverbend!#REF!</f>
        <v>#REF!</v>
      </c>
      <c r="G20" s="78" t="e">
        <f>Riverbend!#REF!</f>
        <v>#REF!</v>
      </c>
      <c r="H20" s="77" t="e">
        <f t="shared" si="0"/>
        <v>#REF!</v>
      </c>
      <c r="I20" s="77" t="e">
        <f>Riverbend!#REF!</f>
        <v>#REF!</v>
      </c>
    </row>
    <row r="21" spans="1:9" ht="18" x14ac:dyDescent="0.35">
      <c r="A21" s="102" t="str">
        <f>'D Johnson Rehab Ctr'!$I$8</f>
        <v>000010575</v>
      </c>
      <c r="B21" s="115" t="str">
        <f>'D Johnson Rehab Ctr'!G6</f>
        <v>Tennessee Prison for Women</v>
      </c>
      <c r="C21" s="75"/>
      <c r="D21" s="76"/>
      <c r="E21" s="85" t="s">
        <v>104</v>
      </c>
      <c r="F21" s="78" t="e">
        <f>'D Johnson Rehab Ctr'!#REF!</f>
        <v>#REF!</v>
      </c>
      <c r="G21" s="78" t="e">
        <f>'D Johnson Rehab Ctr'!#REF!</f>
        <v>#REF!</v>
      </c>
      <c r="H21" s="77" t="e">
        <f t="shared" si="0"/>
        <v>#REF!</v>
      </c>
      <c r="I21" s="77" t="e">
        <f>'D Johnson Rehab Ctr'!#REF!</f>
        <v>#REF!</v>
      </c>
    </row>
    <row r="22" spans="1:9" ht="18" x14ac:dyDescent="0.35">
      <c r="A22" s="102" t="str">
        <f>Turney!$I$8</f>
        <v>000010576</v>
      </c>
      <c r="B22" s="116" t="str">
        <f>Turney!G6</f>
        <v>Turney Center Industrial Complex</v>
      </c>
      <c r="C22" s="75"/>
      <c r="D22" s="76"/>
      <c r="E22" s="85" t="s">
        <v>105</v>
      </c>
      <c r="F22" s="78" t="e">
        <f>Turney!#REF!</f>
        <v>#REF!</v>
      </c>
      <c r="G22" s="78" t="e">
        <f>Turney!#REF!</f>
        <v>#REF!</v>
      </c>
      <c r="H22" s="77" t="e">
        <f t="shared" si="0"/>
        <v>#REF!</v>
      </c>
      <c r="I22" s="77" t="e">
        <f>Turney!#REF!</f>
        <v>#REF!</v>
      </c>
    </row>
    <row r="23" spans="1:9" ht="18" x14ac:dyDescent="0.35">
      <c r="A23" s="102" t="e">
        <f>#REF!</f>
        <v>#REF!</v>
      </c>
      <c r="B23" s="115" t="e">
        <f>#REF!</f>
        <v>#REF!</v>
      </c>
      <c r="C23" s="75"/>
      <c r="D23" s="76"/>
      <c r="E23" s="85" t="s">
        <v>106</v>
      </c>
      <c r="F23" s="78" t="e">
        <f>#REF!</f>
        <v>#REF!</v>
      </c>
      <c r="G23" s="78" t="e">
        <f>#REF!</f>
        <v>#REF!</v>
      </c>
      <c r="H23" s="77" t="e">
        <f t="shared" si="0"/>
        <v>#REF!</v>
      </c>
      <c r="I23" s="77" t="e">
        <f>#REF!</f>
        <v>#REF!</v>
      </c>
    </row>
    <row r="24" spans="1:9" ht="18" x14ac:dyDescent="0.35">
      <c r="A24" s="102" t="e">
        <f>#REF!</f>
        <v>#REF!</v>
      </c>
      <c r="B24" s="116" t="e">
        <f>#REF!</f>
        <v>#REF!</v>
      </c>
      <c r="C24" s="75"/>
      <c r="D24" s="76"/>
      <c r="E24" s="85" t="s">
        <v>107</v>
      </c>
      <c r="F24" s="78" t="e">
        <f>#REF!</f>
        <v>#REF!</v>
      </c>
      <c r="G24" s="78" t="e">
        <f>#REF!</f>
        <v>#REF!</v>
      </c>
      <c r="H24" s="77" t="e">
        <f t="shared" si="0"/>
        <v>#REF!</v>
      </c>
      <c r="I24" s="77" t="e">
        <f>#REF!</f>
        <v>#REF!</v>
      </c>
    </row>
    <row r="25" spans="1:9" ht="18" x14ac:dyDescent="0.35">
      <c r="A25" s="102" t="e">
        <f>#REF!</f>
        <v>#REF!</v>
      </c>
      <c r="B25" s="115" t="e">
        <f>#REF!</f>
        <v>#REF!</v>
      </c>
      <c r="C25" s="75"/>
      <c r="D25" s="76"/>
      <c r="E25" s="85" t="s">
        <v>108</v>
      </c>
      <c r="F25" s="78" t="e">
        <f>#REF!</f>
        <v>#REF!</v>
      </c>
      <c r="G25" s="78" t="e">
        <f>#REF!</f>
        <v>#REF!</v>
      </c>
      <c r="H25" s="77" t="e">
        <f t="shared" si="0"/>
        <v>#REF!</v>
      </c>
      <c r="I25" s="77" t="e">
        <f>#REF!</f>
        <v>#REF!</v>
      </c>
    </row>
    <row r="26" spans="1:9" ht="18" x14ac:dyDescent="0.35">
      <c r="A26" s="102" t="e">
        <f>#REF!</f>
        <v>#REF!</v>
      </c>
      <c r="B26" s="115" t="e">
        <f>#REF!</f>
        <v>#REF!</v>
      </c>
      <c r="C26" s="75"/>
      <c r="D26" s="76"/>
      <c r="E26" s="85" t="s">
        <v>109</v>
      </c>
      <c r="F26" s="78" t="e">
        <f>#REF!</f>
        <v>#REF!</v>
      </c>
      <c r="G26" s="78" t="e">
        <f>#REF!</f>
        <v>#REF!</v>
      </c>
      <c r="H26" s="77" t="e">
        <f t="shared" si="0"/>
        <v>#REF!</v>
      </c>
      <c r="I26" s="77" t="e">
        <f>#REF!</f>
        <v>#REF!</v>
      </c>
    </row>
    <row r="27" spans="1:9" ht="18" x14ac:dyDescent="0.35">
      <c r="A27" s="102" t="e">
        <f>#REF!</f>
        <v>#REF!</v>
      </c>
      <c r="B27" s="116" t="e">
        <f>#REF!</f>
        <v>#REF!</v>
      </c>
      <c r="C27" s="75"/>
      <c r="D27" s="76"/>
      <c r="E27" s="85" t="s">
        <v>110</v>
      </c>
      <c r="F27" s="78" t="e">
        <f>#REF!</f>
        <v>#REF!</v>
      </c>
      <c r="G27" s="78" t="e">
        <f>#REF!</f>
        <v>#REF!</v>
      </c>
      <c r="H27" s="77" t="e">
        <f t="shared" si="0"/>
        <v>#REF!</v>
      </c>
      <c r="I27" s="77" t="e">
        <f>#REF!</f>
        <v>#REF!</v>
      </c>
    </row>
    <row r="28" spans="1:9" ht="18" x14ac:dyDescent="0.35">
      <c r="A28" s="102" t="e">
        <f>#REF!</f>
        <v>#REF!</v>
      </c>
      <c r="B28" s="116" t="e">
        <f>#REF!</f>
        <v>#REF!</v>
      </c>
      <c r="C28" s="75"/>
      <c r="D28" s="76"/>
      <c r="E28" s="85" t="s">
        <v>111</v>
      </c>
      <c r="F28" s="78" t="e">
        <f>#REF!</f>
        <v>#REF!</v>
      </c>
      <c r="G28" s="78" t="e">
        <f>#REF!</f>
        <v>#REF!</v>
      </c>
      <c r="H28" s="77" t="e">
        <f t="shared" si="0"/>
        <v>#REF!</v>
      </c>
      <c r="I28" s="77" t="e">
        <f>#REF!</f>
        <v>#REF!</v>
      </c>
    </row>
    <row r="29" spans="1:9" ht="18" x14ac:dyDescent="0.35">
      <c r="A29" s="102" t="e">
        <f>#REF!</f>
        <v>#REF!</v>
      </c>
      <c r="B29" s="116" t="e">
        <f>#REF!</f>
        <v>#REF!</v>
      </c>
      <c r="C29" s="75"/>
      <c r="D29" s="76"/>
      <c r="E29" s="85" t="s">
        <v>112</v>
      </c>
      <c r="F29" s="78" t="e">
        <f>#REF!</f>
        <v>#REF!</v>
      </c>
      <c r="G29" s="78" t="e">
        <f>#REF!</f>
        <v>#REF!</v>
      </c>
      <c r="H29" s="77" t="e">
        <f t="shared" si="0"/>
        <v>#REF!</v>
      </c>
      <c r="I29" s="77" t="e">
        <f>#REF!</f>
        <v>#REF!</v>
      </c>
    </row>
    <row r="30" spans="1:9" ht="18" x14ac:dyDescent="0.35">
      <c r="A30" s="102" t="e">
        <f>#REF!</f>
        <v>#REF!</v>
      </c>
      <c r="B30" s="115" t="e">
        <f>#REF!</f>
        <v>#REF!</v>
      </c>
      <c r="C30" s="75"/>
      <c r="D30" s="76"/>
      <c r="E30" s="85" t="s">
        <v>113</v>
      </c>
      <c r="F30" s="78" t="e">
        <f>#REF!</f>
        <v>#REF!</v>
      </c>
      <c r="G30" s="78" t="e">
        <f>#REF!</f>
        <v>#REF!</v>
      </c>
      <c r="H30" s="77" t="e">
        <f t="shared" si="0"/>
        <v>#REF!</v>
      </c>
      <c r="I30" s="77" t="e">
        <f>#REF!</f>
        <v>#REF!</v>
      </c>
    </row>
    <row r="31" spans="1:9" ht="18" x14ac:dyDescent="0.35">
      <c r="A31" s="102" t="e">
        <f>#REF!</f>
        <v>#REF!</v>
      </c>
      <c r="B31" s="115" t="e">
        <f>#REF!</f>
        <v>#REF!</v>
      </c>
      <c r="C31" s="75"/>
      <c r="D31" s="76"/>
      <c r="E31" s="85" t="s">
        <v>114</v>
      </c>
      <c r="F31" s="78" t="e">
        <f>#REF!</f>
        <v>#REF!</v>
      </c>
      <c r="G31" s="78" t="e">
        <f>#REF!</f>
        <v>#REF!</v>
      </c>
      <c r="H31" s="77" t="e">
        <f t="shared" si="0"/>
        <v>#REF!</v>
      </c>
      <c r="I31" s="77" t="e">
        <f>#REF!</f>
        <v>#REF!</v>
      </c>
    </row>
    <row r="32" spans="1:9" ht="18" x14ac:dyDescent="0.35">
      <c r="A32" s="102" t="e">
        <f>#REF!</f>
        <v>#REF!</v>
      </c>
      <c r="B32" s="115" t="e">
        <f>#REF!</f>
        <v>#REF!</v>
      </c>
      <c r="C32" s="75"/>
      <c r="D32" s="76"/>
      <c r="E32" s="85" t="s">
        <v>115</v>
      </c>
      <c r="F32" s="78" t="e">
        <f>#REF!</f>
        <v>#REF!</v>
      </c>
      <c r="G32" s="78" t="e">
        <f>#REF!</f>
        <v>#REF!</v>
      </c>
      <c r="H32" s="77" t="e">
        <f t="shared" si="0"/>
        <v>#REF!</v>
      </c>
      <c r="I32" s="77" t="e">
        <f>#REF!</f>
        <v>#REF!</v>
      </c>
    </row>
    <row r="33" spans="1:9" ht="18" x14ac:dyDescent="0.35">
      <c r="A33" s="102" t="e">
        <f>#REF!</f>
        <v>#REF!</v>
      </c>
      <c r="B33" s="115" t="e">
        <f>#REF!</f>
        <v>#REF!</v>
      </c>
      <c r="C33" s="79"/>
      <c r="D33" s="80"/>
      <c r="E33" s="86" t="s">
        <v>116</v>
      </c>
      <c r="F33" s="78" t="e">
        <f>#REF!</f>
        <v>#REF!</v>
      </c>
      <c r="G33" s="78" t="e">
        <f>#REF!</f>
        <v>#REF!</v>
      </c>
      <c r="H33" s="77" t="e">
        <f t="shared" si="0"/>
        <v>#REF!</v>
      </c>
      <c r="I33" s="77" t="e">
        <f>#REF!</f>
        <v>#REF!</v>
      </c>
    </row>
    <row r="34" spans="1:9" ht="18" x14ac:dyDescent="0.35">
      <c r="A34" s="102" t="e">
        <f>#REF!</f>
        <v>#REF!</v>
      </c>
      <c r="B34" s="119" t="e">
        <f>#REF!</f>
        <v>#REF!</v>
      </c>
      <c r="C34" s="81"/>
      <c r="D34" s="81"/>
      <c r="E34" s="87" t="s">
        <v>117</v>
      </c>
      <c r="F34" s="83" t="e">
        <f>#REF!</f>
        <v>#REF!</v>
      </c>
      <c r="G34" s="83" t="e">
        <f>#REF!</f>
        <v>#REF!</v>
      </c>
      <c r="H34" s="82" t="e">
        <f t="shared" si="0"/>
        <v>#REF!</v>
      </c>
      <c r="I34" s="82" t="e">
        <f>#REF!</f>
        <v>#REF!</v>
      </c>
    </row>
    <row r="35" spans="1:9" x14ac:dyDescent="0.3">
      <c r="A35" s="92"/>
      <c r="B35" s="120"/>
      <c r="C35" s="121"/>
      <c r="D35" s="121"/>
      <c r="E35" s="121"/>
      <c r="F35" s="33"/>
      <c r="G35" s="121"/>
      <c r="H35" s="120"/>
      <c r="I35" s="33"/>
    </row>
    <row r="36" spans="1:9" ht="15" thickBot="1" x14ac:dyDescent="0.35">
      <c r="A36" s="92"/>
      <c r="B36" s="121" t="s">
        <v>41</v>
      </c>
      <c r="C36" s="121" t="s">
        <v>41</v>
      </c>
      <c r="D36" s="121" t="s">
        <v>41</v>
      </c>
      <c r="E36" s="121"/>
      <c r="F36" s="122" t="e">
        <f>SUM(F9:F34)</f>
        <v>#REF!</v>
      </c>
      <c r="G36" s="122" t="e">
        <f>SUM(G9:G34)</f>
        <v>#REF!</v>
      </c>
      <c r="H36" s="123" t="e">
        <f>SUM(H9:H34)</f>
        <v>#REF!</v>
      </c>
      <c r="I36" s="123" t="e">
        <f>SUM(I9:I34)</f>
        <v>#REF!</v>
      </c>
    </row>
    <row r="37" spans="1:9" ht="15.6" thickTop="1" thickBot="1" x14ac:dyDescent="0.35">
      <c r="A37" s="92"/>
      <c r="B37" s="124"/>
      <c r="C37" s="30"/>
      <c r="D37" s="30"/>
      <c r="E37" s="30"/>
      <c r="F37" s="30"/>
      <c r="G37" s="30"/>
      <c r="H37" s="30"/>
      <c r="I37" s="31"/>
    </row>
    <row r="38" spans="1:9" x14ac:dyDescent="0.3">
      <c r="B38" s="12"/>
      <c r="C38" s="13"/>
      <c r="D38" s="13"/>
      <c r="E38" s="13"/>
      <c r="F38" s="13"/>
      <c r="G38" s="13"/>
      <c r="H38" s="13"/>
      <c r="I38" s="13"/>
    </row>
    <row r="39" spans="1:9" ht="16.2" x14ac:dyDescent="0.35">
      <c r="B39" s="15"/>
      <c r="C39" s="16">
        <f>SUM(C9:C37)</f>
        <v>0</v>
      </c>
      <c r="D39" s="16">
        <f>SUM(D9:D37)</f>
        <v>0</v>
      </c>
      <c r="E39" s="16"/>
      <c r="F39" s="16"/>
      <c r="G39" s="16"/>
      <c r="H39" s="16"/>
      <c r="I39" s="16"/>
    </row>
    <row r="40" spans="1:9" x14ac:dyDescent="0.3">
      <c r="B40" s="18"/>
      <c r="C40" s="19"/>
      <c r="D40" s="19"/>
      <c r="E40" s="19"/>
      <c r="F40" s="19"/>
      <c r="G40" s="19"/>
      <c r="H40" s="19"/>
      <c r="I40" s="19"/>
    </row>
    <row r="41" spans="1:9" x14ac:dyDescent="0.3">
      <c r="B41" s="4"/>
      <c r="C41" s="22"/>
      <c r="D41" s="23"/>
      <c r="E41" s="23"/>
      <c r="F41" s="23"/>
      <c r="G41" s="23"/>
      <c r="H41" s="23"/>
      <c r="I41" s="22"/>
    </row>
    <row r="42" spans="1:9" x14ac:dyDescent="0.3">
      <c r="B42" s="4"/>
      <c r="C42" s="25"/>
      <c r="D42" s="4"/>
      <c r="E42" s="4"/>
      <c r="F42" s="4"/>
      <c r="G42" s="4"/>
      <c r="H42" s="4"/>
      <c r="I42" s="25"/>
    </row>
  </sheetData>
  <sheetProtection sheet="1" objects="1" scenarios="1"/>
  <pageMargins left="0.45" right="0.45" top="0.25" bottom="0.25" header="0" footer="0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S58"/>
  <sheetViews>
    <sheetView showGridLines="0" tabSelected="1" zoomScale="85" zoomScaleNormal="85" workbookViewId="0">
      <selection activeCell="J44" sqref="J44"/>
    </sheetView>
  </sheetViews>
  <sheetFormatPr defaultRowHeight="14.4" x14ac:dyDescent="0.3"/>
  <cols>
    <col min="1" max="1" width="11.109375" customWidth="1"/>
    <col min="2" max="2" width="38.5546875" style="652" customWidth="1"/>
    <col min="3" max="5" width="17.5546875" customWidth="1"/>
    <col min="6" max="7" width="16.44140625" customWidth="1"/>
    <col min="8" max="8" width="16.109375" bestFit="1" customWidth="1"/>
    <col min="9" max="9" width="17.88671875" customWidth="1"/>
    <col min="10" max="10" width="17.44140625" customWidth="1"/>
    <col min="11" max="12" width="15" bestFit="1" customWidth="1"/>
    <col min="13" max="13" width="11.44140625" bestFit="1" customWidth="1"/>
  </cols>
  <sheetData>
    <row r="2" spans="2:19" x14ac:dyDescent="0.3">
      <c r="I2" s="43" t="s">
        <v>12</v>
      </c>
      <c r="J2" s="49">
        <v>11</v>
      </c>
    </row>
    <row r="3" spans="2:19" x14ac:dyDescent="0.3">
      <c r="I3" s="50" t="s">
        <v>14</v>
      </c>
      <c r="J3" s="51">
        <v>45139</v>
      </c>
    </row>
    <row r="4" spans="2:19" x14ac:dyDescent="0.3">
      <c r="I4" s="50" t="s">
        <v>15</v>
      </c>
      <c r="J4" s="51">
        <v>45169</v>
      </c>
    </row>
    <row r="6" spans="2:19" ht="17.399999999999999" x14ac:dyDescent="0.3">
      <c r="G6" s="271" t="s">
        <v>46</v>
      </c>
      <c r="H6" s="271"/>
      <c r="I6" s="277"/>
    </row>
    <row r="7" spans="2:19" ht="15" customHeight="1" x14ac:dyDescent="0.3">
      <c r="C7" s="1">
        <f>J9-J7</f>
        <v>0</v>
      </c>
      <c r="D7" s="2"/>
      <c r="G7" s="272" t="s">
        <v>163</v>
      </c>
      <c r="H7" s="272"/>
      <c r="I7" s="278"/>
      <c r="S7" t="s">
        <v>46</v>
      </c>
    </row>
    <row r="8" spans="2:19" ht="15" customHeight="1" x14ac:dyDescent="0.3">
      <c r="D8" s="2"/>
      <c r="G8" s="272" t="s">
        <v>1</v>
      </c>
      <c r="H8" s="272"/>
      <c r="I8" s="278"/>
      <c r="S8" t="s">
        <v>47</v>
      </c>
    </row>
    <row r="9" spans="2:19" ht="15" customHeight="1" x14ac:dyDescent="0.3">
      <c r="B9" s="653" t="s">
        <v>0</v>
      </c>
      <c r="D9" s="2"/>
      <c r="G9" s="273" t="s">
        <v>2</v>
      </c>
      <c r="H9" s="273"/>
      <c r="I9" s="35"/>
      <c r="S9" t="s">
        <v>48</v>
      </c>
    </row>
    <row r="10" spans="2:19" ht="15.6" x14ac:dyDescent="0.3">
      <c r="B10" s="653" t="s">
        <v>135</v>
      </c>
      <c r="D10" s="19"/>
      <c r="F10" s="283" t="s">
        <v>237</v>
      </c>
      <c r="G10" s="19"/>
      <c r="H10" s="281" t="s">
        <v>242</v>
      </c>
      <c r="I10" s="279"/>
      <c r="S10" t="s">
        <v>49</v>
      </c>
    </row>
    <row r="11" spans="2:19" x14ac:dyDescent="0.3">
      <c r="B11" s="653" t="s">
        <v>162</v>
      </c>
      <c r="D11" s="2"/>
      <c r="F11" s="272"/>
      <c r="G11" s="2"/>
      <c r="H11" s="280" t="s">
        <v>3</v>
      </c>
      <c r="I11" s="35"/>
      <c r="S11" t="s">
        <v>50</v>
      </c>
    </row>
    <row r="12" spans="2:19" ht="15" customHeight="1" x14ac:dyDescent="0.3">
      <c r="B12" s="654" t="s">
        <v>179</v>
      </c>
      <c r="D12" s="2"/>
      <c r="F12" s="276"/>
      <c r="G12" s="2"/>
      <c r="H12" s="280" t="s">
        <v>177</v>
      </c>
      <c r="I12" s="35"/>
      <c r="S12" t="s">
        <v>51</v>
      </c>
    </row>
    <row r="13" spans="2:19" ht="15" customHeight="1" x14ac:dyDescent="0.3">
      <c r="B13" s="654" t="s">
        <v>180</v>
      </c>
      <c r="D13" s="5"/>
      <c r="F13" s="276"/>
      <c r="G13" s="2"/>
      <c r="H13" s="280" t="s">
        <v>178</v>
      </c>
      <c r="I13" s="35"/>
      <c r="S13" t="s">
        <v>52</v>
      </c>
    </row>
    <row r="14" spans="2:19" ht="15" customHeight="1" x14ac:dyDescent="0.3">
      <c r="B14" s="654" t="s">
        <v>181</v>
      </c>
      <c r="D14" s="2"/>
      <c r="E14" s="2"/>
      <c r="F14" s="2"/>
      <c r="G14" s="876"/>
      <c r="H14" s="876"/>
      <c r="I14" s="876"/>
    </row>
    <row r="15" spans="2:19" ht="17.399999999999999" x14ac:dyDescent="0.3">
      <c r="B15" s="655" t="s">
        <v>182</v>
      </c>
      <c r="C15" s="182">
        <v>28793</v>
      </c>
      <c r="D15" s="6"/>
      <c r="E15" s="6"/>
      <c r="F15" s="6"/>
      <c r="G15" s="877" t="s">
        <v>4</v>
      </c>
      <c r="H15" s="877"/>
      <c r="I15" s="877"/>
    </row>
    <row r="16" spans="2:19" ht="17.399999999999999" x14ac:dyDescent="0.3">
      <c r="B16" s="655" t="s">
        <v>183</v>
      </c>
      <c r="C16" s="182">
        <v>13526</v>
      </c>
      <c r="D16" s="6"/>
      <c r="E16" s="6"/>
      <c r="F16" s="6"/>
      <c r="G16" s="876" t="s">
        <v>5</v>
      </c>
      <c r="H16" s="876"/>
      <c r="I16" s="876"/>
    </row>
    <row r="17" spans="1:11" ht="17.399999999999999" x14ac:dyDescent="0.3">
      <c r="B17" s="655" t="s">
        <v>136</v>
      </c>
      <c r="C17" s="282" t="s">
        <v>213</v>
      </c>
      <c r="D17" s="6"/>
      <c r="E17" s="6"/>
      <c r="F17" s="6"/>
      <c r="G17" s="178"/>
      <c r="H17" s="178"/>
      <c r="I17" s="178"/>
    </row>
    <row r="18" spans="1:11" ht="43.35" customHeight="1" x14ac:dyDescent="0.3">
      <c r="B18" s="656"/>
      <c r="C18" s="52"/>
      <c r="D18" s="6"/>
      <c r="E18" s="6"/>
      <c r="F18" s="6"/>
      <c r="G18" s="875" t="s">
        <v>575</v>
      </c>
      <c r="H18" s="875"/>
      <c r="I18" s="875"/>
    </row>
    <row r="19" spans="1:11" ht="18" customHeight="1" x14ac:dyDescent="0.3">
      <c r="B19" s="657" t="s">
        <v>712</v>
      </c>
      <c r="D19" s="6"/>
      <c r="E19" s="6"/>
      <c r="F19" s="6"/>
      <c r="G19" s="7"/>
      <c r="H19" s="8" t="str">
        <f>IF(G6="INVOICE","Invoice Number:","-")</f>
        <v>Invoice Number:</v>
      </c>
      <c r="I19" s="418" t="s">
        <v>711</v>
      </c>
    </row>
    <row r="20" spans="1:11" ht="17.399999999999999" x14ac:dyDescent="0.3">
      <c r="B20" s="658" t="str">
        <f>"Period Starting "&amp;TEXT(J3,"MMMM-DD-YYYY")&amp;" to "&amp;TEXT(J4,"MMMM-DD-YYYY")</f>
        <v>Period Starting August-01-2023 to August-31-2023</v>
      </c>
      <c r="D20" s="6"/>
      <c r="E20" s="6"/>
      <c r="F20" s="6"/>
      <c r="G20" s="9"/>
      <c r="H20" s="10" t="s">
        <v>6</v>
      </c>
      <c r="I20" s="11">
        <f>J52</f>
        <v>2244487.6264157314</v>
      </c>
    </row>
    <row r="21" spans="1:11" ht="17.399999999999999" x14ac:dyDescent="0.3">
      <c r="B21" s="658"/>
      <c r="D21" s="6"/>
      <c r="E21" s="6"/>
      <c r="F21" s="6"/>
      <c r="G21" s="757"/>
      <c r="H21" s="758"/>
      <c r="I21" s="759"/>
    </row>
    <row r="22" spans="1:11" ht="18" thickBot="1" x14ac:dyDescent="0.35">
      <c r="B22" s="658"/>
      <c r="D22" s="6"/>
      <c r="E22" s="6"/>
      <c r="F22" s="6"/>
      <c r="G22" s="757"/>
      <c r="H22" s="758"/>
      <c r="I22" s="759"/>
    </row>
    <row r="23" spans="1:11" ht="29.4" thickBot="1" x14ac:dyDescent="0.35">
      <c r="A23" s="26" t="s">
        <v>8</v>
      </c>
      <c r="B23" s="659" t="s">
        <v>39</v>
      </c>
      <c r="C23" s="760" t="s">
        <v>697</v>
      </c>
      <c r="D23" s="761" t="s">
        <v>698</v>
      </c>
      <c r="E23" s="761" t="s">
        <v>699</v>
      </c>
      <c r="F23" s="761" t="s">
        <v>700</v>
      </c>
      <c r="G23" s="761" t="s">
        <v>701</v>
      </c>
      <c r="H23" s="761" t="s">
        <v>702</v>
      </c>
      <c r="I23" s="763"/>
      <c r="J23" s="764"/>
    </row>
    <row r="24" spans="1:11" ht="15.6" x14ac:dyDescent="0.3">
      <c r="A24" s="47" t="str">
        <f>Bledsoe!$J$8</f>
        <v>000010563</v>
      </c>
      <c r="B24" s="660" t="str">
        <f>Bledsoe!G6</f>
        <v>Bledsoe County Correctional Complex</v>
      </c>
      <c r="C24" s="195">
        <f>Bledsoe!D57+Bledsoe!D58</f>
        <v>138398</v>
      </c>
      <c r="D24" s="195">
        <f>Bledsoe!E57+Bledsoe!E58</f>
        <v>2673</v>
      </c>
      <c r="E24" s="195">
        <f>Bledsoe!F57+Bledsoe!F58</f>
        <v>6487</v>
      </c>
      <c r="F24" s="195">
        <f>Bledsoe!G57+Bledsoe!G58</f>
        <v>0</v>
      </c>
      <c r="G24" s="195">
        <f>Bledsoe!H57+Bledsoe!H58</f>
        <v>5995</v>
      </c>
      <c r="H24" s="195">
        <f>Bledsoe!I57+Bledsoe!I58</f>
        <v>3503</v>
      </c>
      <c r="I24" s="762">
        <f>Bledsoe!J57+Bledsoe!J58</f>
        <v>157056</v>
      </c>
      <c r="J24" s="820">
        <f>(SUM(C24:G24)*1.98)+(H24*2.06)</f>
        <v>311251.12</v>
      </c>
      <c r="K24" s="233"/>
    </row>
    <row r="25" spans="1:11" ht="15.6" x14ac:dyDescent="0.3">
      <c r="A25" s="47" t="str">
        <f>Luttrell!$I$8</f>
        <v>000010564</v>
      </c>
      <c r="B25" s="661" t="str">
        <f>Luttrell!G6</f>
        <v>Mark Luttrell Correctional Center</v>
      </c>
      <c r="C25" s="195">
        <f>Luttrell!D57</f>
        <v>16117</v>
      </c>
      <c r="D25" s="195">
        <f>Luttrell!E57</f>
        <v>0</v>
      </c>
      <c r="E25" s="195">
        <f>Luttrell!F57</f>
        <v>270</v>
      </c>
      <c r="F25" s="195">
        <f>Luttrell!G57</f>
        <v>0</v>
      </c>
      <c r="G25" s="195">
        <f>Luttrell!H57</f>
        <v>1039</v>
      </c>
      <c r="H25" s="195">
        <f>Luttrell!I57</f>
        <v>2944</v>
      </c>
      <c r="I25" s="768">
        <f>Luttrell!J57</f>
        <v>20370</v>
      </c>
      <c r="J25" s="820">
        <f t="shared" ref="J25:J37" si="0">(SUM(C25:G25)*1.98)+(H25*2.06)</f>
        <v>40568.120000000003</v>
      </c>
      <c r="K25" s="233"/>
    </row>
    <row r="26" spans="1:11" ht="15.6" x14ac:dyDescent="0.3">
      <c r="A26" s="47" t="str">
        <f>Northwest!$I$8</f>
        <v>000010566</v>
      </c>
      <c r="B26" s="662" t="str">
        <f>Northwest!G6</f>
        <v>Northwest Correctional Complex</v>
      </c>
      <c r="C26" s="195">
        <f>Northwest!D57</f>
        <v>132279</v>
      </c>
      <c r="D26" s="195">
        <f>Northwest!E57</f>
        <v>4394</v>
      </c>
      <c r="E26" s="195">
        <f>Northwest!F57</f>
        <v>7669</v>
      </c>
      <c r="F26" s="195">
        <f>Northwest!G57</f>
        <v>0</v>
      </c>
      <c r="G26" s="195">
        <f>Northwest!H57</f>
        <v>1662</v>
      </c>
      <c r="H26" s="195">
        <f>Northwest!I57</f>
        <v>1182</v>
      </c>
      <c r="I26" s="216">
        <f>Northwest!J57</f>
        <v>147186</v>
      </c>
      <c r="J26" s="820">
        <f t="shared" si="0"/>
        <v>291522.83999999997</v>
      </c>
      <c r="K26" s="233"/>
    </row>
    <row r="27" spans="1:11" ht="15.6" x14ac:dyDescent="0.3">
      <c r="A27" s="47" t="str">
        <f>'TN Corrections Academy'!$I$8</f>
        <v>000010567</v>
      </c>
      <c r="B27" s="662" t="str">
        <f>'TN Corrections Academy'!G6</f>
        <v>Tennessee Corrections Academy</v>
      </c>
      <c r="C27" s="195">
        <f>'TN Corrections Academy'!D57</f>
        <v>926</v>
      </c>
      <c r="D27" s="195">
        <f>'TN Corrections Academy'!E57</f>
        <v>0</v>
      </c>
      <c r="E27" s="195">
        <f>'TN Corrections Academy'!F57</f>
        <v>0</v>
      </c>
      <c r="F27" s="195">
        <f>'TN Corrections Academy'!G57</f>
        <v>0</v>
      </c>
      <c r="G27" s="195">
        <f>'TN Corrections Academy'!H57</f>
        <v>16098</v>
      </c>
      <c r="H27" s="195">
        <f>'TN Corrections Academy'!I57</f>
        <v>250</v>
      </c>
      <c r="I27" s="216">
        <f>'TN Corrections Academy'!J57</f>
        <v>17274</v>
      </c>
      <c r="J27" s="820">
        <f t="shared" si="0"/>
        <v>34222.519999999997</v>
      </c>
      <c r="K27" s="233"/>
    </row>
    <row r="28" spans="1:11" ht="15.6" x14ac:dyDescent="0.3">
      <c r="A28" s="47" t="str">
        <f>'Turney Annex'!$I$8</f>
        <v>000010569</v>
      </c>
      <c r="B28" s="662" t="str">
        <f>'Turney Annex'!G6</f>
        <v>Turney Center Industrial Complex Annex</v>
      </c>
      <c r="C28" s="195">
        <f>'Turney Annex'!D57</f>
        <v>24981</v>
      </c>
      <c r="D28" s="195">
        <f>'Turney Annex'!E57</f>
        <v>0</v>
      </c>
      <c r="E28" s="195">
        <f>'Turney Annex'!F57</f>
        <v>40</v>
      </c>
      <c r="F28" s="195">
        <f>'Turney Annex'!G57</f>
        <v>0</v>
      </c>
      <c r="G28" s="195">
        <f>'Turney Annex'!H57</f>
        <v>563</v>
      </c>
      <c r="H28" s="195">
        <f>'Turney Annex'!I57</f>
        <v>830</v>
      </c>
      <c r="I28" s="216">
        <f>'Turney Annex'!J57</f>
        <v>26414</v>
      </c>
      <c r="J28" s="820">
        <f t="shared" si="0"/>
        <v>52366.12</v>
      </c>
      <c r="K28" s="233"/>
    </row>
    <row r="29" spans="1:11" ht="15.6" x14ac:dyDescent="0.3">
      <c r="A29" s="47" t="str">
        <f>'West TN State'!$I$8</f>
        <v>000010570</v>
      </c>
      <c r="B29" s="661" t="str">
        <f>'West TN State'!G6</f>
        <v>West Tennessee State Penitentiary</v>
      </c>
      <c r="C29" s="195">
        <f>'West TN State'!D57</f>
        <v>145898</v>
      </c>
      <c r="D29" s="195">
        <f>'West TN State'!E57</f>
        <v>617</v>
      </c>
      <c r="E29" s="195">
        <f>'West TN State'!F57</f>
        <v>5018</v>
      </c>
      <c r="F29" s="195">
        <f>'West TN State'!G57</f>
        <v>91</v>
      </c>
      <c r="G29" s="195">
        <f>'West TN State'!H57</f>
        <v>2487</v>
      </c>
      <c r="H29" s="195">
        <f>'West TN State'!I57</f>
        <v>9854</v>
      </c>
      <c r="I29" s="216">
        <f>'West TN State'!J57</f>
        <v>163965</v>
      </c>
      <c r="J29" s="820">
        <f t="shared" si="0"/>
        <v>325439.01999999996</v>
      </c>
      <c r="K29" s="233"/>
    </row>
    <row r="30" spans="1:11" ht="15.6" x14ac:dyDescent="0.3">
      <c r="A30" s="47" t="str">
        <f>DeBerry!$I$8</f>
        <v>000010571</v>
      </c>
      <c r="B30" s="662" t="str">
        <f>DeBerry!G6</f>
        <v>DeBerry Special Needs Facility</v>
      </c>
      <c r="C30" s="195">
        <f>DeBerry!D57</f>
        <v>46052</v>
      </c>
      <c r="D30" s="195">
        <f>DeBerry!E57</f>
        <v>186</v>
      </c>
      <c r="E30" s="195">
        <f>DeBerry!F57</f>
        <v>8595</v>
      </c>
      <c r="F30" s="195">
        <f>DeBerry!G57</f>
        <v>0</v>
      </c>
      <c r="G30" s="195">
        <f>DeBerry!H57</f>
        <v>4688</v>
      </c>
      <c r="H30" s="195">
        <f>DeBerry!I57</f>
        <v>2020</v>
      </c>
      <c r="I30" s="216">
        <f>DeBerry!J57</f>
        <v>61541</v>
      </c>
      <c r="J30" s="820">
        <f t="shared" si="0"/>
        <v>122012.78</v>
      </c>
      <c r="K30" s="233"/>
    </row>
    <row r="31" spans="1:11" ht="15.6" x14ac:dyDescent="0.3">
      <c r="A31" s="47" t="str">
        <f>Morgan!$I$8</f>
        <v>000010572</v>
      </c>
      <c r="B31" s="661" t="str">
        <f>Morgan!G6</f>
        <v>Morgan County Correctional Complex</v>
      </c>
      <c r="C31" s="195">
        <f>Morgan!D57</f>
        <v>171232</v>
      </c>
      <c r="D31" s="195">
        <f>Morgan!E57</f>
        <v>10047</v>
      </c>
      <c r="E31" s="195">
        <f>Morgan!F57</f>
        <v>4699</v>
      </c>
      <c r="F31" s="195">
        <f>Morgan!G57</f>
        <v>0</v>
      </c>
      <c r="G31" s="195">
        <f>Morgan!H57</f>
        <v>3411</v>
      </c>
      <c r="H31" s="195">
        <f>Morgan!I57</f>
        <v>3818</v>
      </c>
      <c r="I31" s="216">
        <f>Morgan!J57</f>
        <v>193207</v>
      </c>
      <c r="J31" s="820">
        <f t="shared" si="0"/>
        <v>382855.3</v>
      </c>
      <c r="K31" s="233"/>
    </row>
    <row r="32" spans="1:11" ht="15.6" x14ac:dyDescent="0.3">
      <c r="A32" s="47" t="str">
        <f>Northeast!$I$8</f>
        <v>000010573</v>
      </c>
      <c r="B32" s="661" t="str">
        <f>Northeast!G6</f>
        <v>Northeast Correctional Complex</v>
      </c>
      <c r="C32" s="195">
        <f>Northeast!D57</f>
        <v>109137</v>
      </c>
      <c r="D32" s="195">
        <f>Northeast!E57</f>
        <v>7211</v>
      </c>
      <c r="E32" s="195">
        <f>Northeast!F57</f>
        <v>7055</v>
      </c>
      <c r="F32" s="195">
        <f>Northeast!G57</f>
        <v>0</v>
      </c>
      <c r="G32" s="195">
        <f>Northeast!H57</f>
        <v>368</v>
      </c>
      <c r="H32" s="195">
        <f>Northeast!I57</f>
        <v>1330</v>
      </c>
      <c r="I32" s="216">
        <f>Northeast!J57</f>
        <v>125101</v>
      </c>
      <c r="J32" s="820">
        <f t="shared" si="0"/>
        <v>247806.37999999998</v>
      </c>
      <c r="K32" s="233"/>
    </row>
    <row r="33" spans="1:12" ht="15.6" x14ac:dyDescent="0.3">
      <c r="A33" s="264" t="str">
        <f>Northeast!$I$8</f>
        <v>000010573</v>
      </c>
      <c r="B33" s="661" t="s">
        <v>491</v>
      </c>
      <c r="C33" s="195">
        <f>'Northeast Carter'!D57</f>
        <v>0</v>
      </c>
      <c r="D33" s="195">
        <f>'Northeast Carter'!E57</f>
        <v>0</v>
      </c>
      <c r="E33" s="195">
        <f>'Northeast Carter'!F57</f>
        <v>0</v>
      </c>
      <c r="F33" s="195">
        <f>'Northeast Carter'!G57</f>
        <v>0</v>
      </c>
      <c r="G33" s="195">
        <f>'Northeast Carter'!H57</f>
        <v>0</v>
      </c>
      <c r="H33" s="195">
        <f>'Northeast Carter'!I57</f>
        <v>0</v>
      </c>
      <c r="I33" s="216">
        <f>'Northeast Carter'!J57</f>
        <v>0</v>
      </c>
      <c r="J33" s="820">
        <f t="shared" si="0"/>
        <v>0</v>
      </c>
      <c r="K33" s="233"/>
    </row>
    <row r="34" spans="1:12" ht="15.6" x14ac:dyDescent="0.3">
      <c r="A34" s="47" t="str">
        <f>Riverbend!$I$8</f>
        <v>000010574</v>
      </c>
      <c r="B34" s="663" t="str">
        <f>Riverbend!G6</f>
        <v>Riverbend Maximum Security Institution</v>
      </c>
      <c r="C34" s="195">
        <f>Riverbend!D57</f>
        <v>52622</v>
      </c>
      <c r="D34" s="195">
        <f>Riverbend!E57</f>
        <v>1913</v>
      </c>
      <c r="E34" s="195">
        <f>Riverbend!F57</f>
        <v>4557</v>
      </c>
      <c r="F34" s="195">
        <f>Riverbend!G57</f>
        <v>244</v>
      </c>
      <c r="G34" s="195">
        <f>Riverbend!H57</f>
        <v>2811</v>
      </c>
      <c r="H34" s="195">
        <f>Riverbend!I57</f>
        <v>308</v>
      </c>
      <c r="I34" s="216">
        <f>Riverbend!J57</f>
        <v>62455</v>
      </c>
      <c r="J34" s="820">
        <f t="shared" si="0"/>
        <v>123685.54</v>
      </c>
      <c r="K34" s="233"/>
    </row>
    <row r="35" spans="1:12" ht="15.6" x14ac:dyDescent="0.3">
      <c r="A35" s="47" t="str">
        <f>'D Johnson Rehab Ctr'!$I$8</f>
        <v>000010575</v>
      </c>
      <c r="B35" s="661" t="s">
        <v>591</v>
      </c>
      <c r="C35" s="195">
        <f>'D Johnson Rehab Ctr'!D57</f>
        <v>34640</v>
      </c>
      <c r="D35" s="195">
        <f>'D Johnson Rehab Ctr'!E57</f>
        <v>860</v>
      </c>
      <c r="E35" s="195">
        <f>'D Johnson Rehab Ctr'!F57</f>
        <v>3034</v>
      </c>
      <c r="F35" s="195">
        <f>'D Johnson Rehab Ctr'!G57</f>
        <v>0</v>
      </c>
      <c r="G35" s="195">
        <f>'D Johnson Rehab Ctr'!H57</f>
        <v>189</v>
      </c>
      <c r="H35" s="195">
        <f>'D Johnson Rehab Ctr'!I57</f>
        <v>1742</v>
      </c>
      <c r="I35" s="216">
        <f>'D Johnson Rehab Ctr'!J57</f>
        <v>40465</v>
      </c>
      <c r="J35" s="820">
        <f t="shared" si="0"/>
        <v>80260.06</v>
      </c>
      <c r="K35" s="233"/>
    </row>
    <row r="36" spans="1:12" ht="15.6" x14ac:dyDescent="0.3">
      <c r="A36" s="272">
        <v>19259</v>
      </c>
      <c r="B36" s="787" t="s">
        <v>600</v>
      </c>
      <c r="C36" s="195">
        <f>WTRC!D57</f>
        <v>0</v>
      </c>
      <c r="D36" s="195">
        <f>WTRC!E57</f>
        <v>0</v>
      </c>
      <c r="E36" s="195">
        <f>WTRC!F57</f>
        <v>0</v>
      </c>
      <c r="F36" s="195">
        <f>WTRC!G57</f>
        <v>0</v>
      </c>
      <c r="G36" s="195">
        <f>WTRC!H57</f>
        <v>0</v>
      </c>
      <c r="H36" s="195">
        <f>WTRC!I57</f>
        <v>0</v>
      </c>
      <c r="I36" s="216">
        <f>WTRC!J57</f>
        <v>0</v>
      </c>
      <c r="J36" s="820">
        <f t="shared" si="0"/>
        <v>0</v>
      </c>
      <c r="K36" s="233"/>
    </row>
    <row r="37" spans="1:12" ht="16.2" thickBot="1" x14ac:dyDescent="0.35">
      <c r="A37" s="272" t="str">
        <f>Turney!$I$8</f>
        <v>000010576</v>
      </c>
      <c r="B37" s="765" t="s">
        <v>590</v>
      </c>
      <c r="C37" s="195">
        <f>Turney!D57</f>
        <v>81285</v>
      </c>
      <c r="D37" s="195">
        <f>Turney!E57</f>
        <v>1775</v>
      </c>
      <c r="E37" s="195">
        <f>Turney!F57</f>
        <v>4929</v>
      </c>
      <c r="F37" s="195">
        <f>Turney!G57</f>
        <v>337</v>
      </c>
      <c r="G37" s="195">
        <f>Turney!H57</f>
        <v>2349</v>
      </c>
      <c r="H37" s="195">
        <f>Turney!I57</f>
        <v>3455</v>
      </c>
      <c r="I37" s="216">
        <f>Turney!J57</f>
        <v>94130</v>
      </c>
      <c r="J37" s="820">
        <f t="shared" si="0"/>
        <v>186653.8</v>
      </c>
      <c r="K37" s="233"/>
    </row>
    <row r="38" spans="1:12" x14ac:dyDescent="0.3">
      <c r="B38" s="664"/>
      <c r="C38" s="287">
        <f t="shared" ref="C38:H38" si="1">SUM(C24:C37)</f>
        <v>953567</v>
      </c>
      <c r="D38" s="287">
        <f t="shared" si="1"/>
        <v>29676</v>
      </c>
      <c r="E38" s="287">
        <f t="shared" si="1"/>
        <v>52353</v>
      </c>
      <c r="F38" s="287">
        <f t="shared" si="1"/>
        <v>672</v>
      </c>
      <c r="G38" s="287">
        <f t="shared" si="1"/>
        <v>41660</v>
      </c>
      <c r="H38" s="287">
        <f t="shared" si="1"/>
        <v>31236</v>
      </c>
      <c r="I38" s="33"/>
      <c r="J38" s="34"/>
      <c r="K38" s="233"/>
    </row>
    <row r="39" spans="1:12" ht="15.6" x14ac:dyDescent="0.3">
      <c r="B39" s="665" t="s">
        <v>176</v>
      </c>
      <c r="C39" s="27"/>
      <c r="D39" s="27"/>
      <c r="E39" s="27"/>
      <c r="H39" s="3"/>
      <c r="I39" s="254">
        <f>SUM(I24:I37)</f>
        <v>1109164</v>
      </c>
      <c r="J39" s="821">
        <f>SUM(J24:J37)</f>
        <v>2198643.6</v>
      </c>
      <c r="K39" s="233"/>
    </row>
    <row r="40" spans="1:12" x14ac:dyDescent="0.3">
      <c r="B40" s="665"/>
      <c r="C40" s="27"/>
      <c r="D40" s="27"/>
      <c r="E40" s="27"/>
      <c r="H40" s="203"/>
      <c r="I40" s="183"/>
      <c r="J40" s="184"/>
      <c r="K40" s="233"/>
    </row>
    <row r="41" spans="1:12" x14ac:dyDescent="0.3">
      <c r="B41" s="666" t="s">
        <v>196</v>
      </c>
      <c r="C41" s="27"/>
      <c r="D41" s="27"/>
      <c r="E41" s="27"/>
      <c r="H41" s="203"/>
      <c r="I41" s="206"/>
      <c r="J41" s="546">
        <f>SUM(Bledsoe:WTRC!K44)</f>
        <v>77224.17</v>
      </c>
      <c r="K41" s="233"/>
    </row>
    <row r="42" spans="1:12" x14ac:dyDescent="0.3">
      <c r="B42" s="666" t="s">
        <v>596</v>
      </c>
      <c r="C42" s="27" t="s">
        <v>556</v>
      </c>
      <c r="D42" s="27"/>
      <c r="E42" s="27"/>
      <c r="H42" s="203"/>
      <c r="I42" s="206"/>
      <c r="J42" s="185">
        <f>Morgan!K46+DeBerry!K46+Turney!K46+Bledsoe!K46+Northeast!K46+'Turney Annex'!K46+'West TN State'!K46+Riverbend!K46</f>
        <v>-15147.920000000002</v>
      </c>
      <c r="K42" s="233"/>
    </row>
    <row r="43" spans="1:12" x14ac:dyDescent="0.3">
      <c r="B43" s="36" t="s">
        <v>744</v>
      </c>
      <c r="C43" s="27"/>
      <c r="D43" s="27"/>
      <c r="E43" s="27"/>
      <c r="H43" s="167"/>
      <c r="I43" s="29"/>
      <c r="J43" s="546">
        <f>Northwest!K46</f>
        <v>26787.75</v>
      </c>
      <c r="K43" s="233"/>
    </row>
    <row r="44" spans="1:12" x14ac:dyDescent="0.3">
      <c r="B44" s="667" t="s">
        <v>185</v>
      </c>
      <c r="C44" s="27"/>
      <c r="D44" s="27"/>
      <c r="E44" s="27"/>
      <c r="H44" s="167"/>
      <c r="I44" s="29"/>
      <c r="J44" s="546">
        <f>SUM(Bledsoe:Turney!K47)</f>
        <v>-45296.495999999999</v>
      </c>
      <c r="K44" s="233"/>
    </row>
    <row r="45" spans="1:12" x14ac:dyDescent="0.3">
      <c r="B45" s="667" t="s">
        <v>233</v>
      </c>
      <c r="C45" s="27"/>
      <c r="D45" s="27"/>
      <c r="E45" s="27"/>
      <c r="H45" s="167"/>
      <c r="I45" s="29"/>
      <c r="J45" s="546">
        <f>SUM(Bledsoe:Turney!K48)</f>
        <v>1559.3724157314139</v>
      </c>
      <c r="K45" s="233"/>
      <c r="L45" s="204"/>
    </row>
    <row r="46" spans="1:12" x14ac:dyDescent="0.3">
      <c r="B46" s="667" t="s">
        <v>246</v>
      </c>
      <c r="C46" s="27"/>
      <c r="D46" s="27"/>
      <c r="E46" s="27"/>
      <c r="H46" s="167"/>
      <c r="I46" s="29"/>
      <c r="J46" s="546">
        <f>SUM(Bledsoe:Turney!K49)</f>
        <v>0</v>
      </c>
      <c r="K46" s="233"/>
      <c r="L46" s="204"/>
    </row>
    <row r="47" spans="1:12" ht="13.65" customHeight="1" x14ac:dyDescent="0.3">
      <c r="B47" s="667" t="s">
        <v>244</v>
      </c>
      <c r="C47" s="27"/>
      <c r="D47" s="27"/>
      <c r="E47" s="27"/>
      <c r="H47" s="167"/>
      <c r="I47" s="29"/>
      <c r="J47" s="546">
        <f>SUM(Bledsoe:Turney!K50)</f>
        <v>717.15000000000009</v>
      </c>
      <c r="K47" s="321"/>
      <c r="L47" s="321"/>
    </row>
    <row r="48" spans="1:12" x14ac:dyDescent="0.3">
      <c r="B48" s="667" t="s">
        <v>638</v>
      </c>
      <c r="C48" s="27"/>
      <c r="D48" s="27"/>
      <c r="E48" s="27"/>
      <c r="H48" s="167"/>
      <c r="I48" s="29"/>
      <c r="J48" s="546">
        <f>Bledsoe!K51+Luttrell!K51+Northwest!K51+'Turney Annex'!K51+'TN Corrections Academy'!K51+'West TN State'!K51+DeBerry!K51+Morgan!K51+Northeast!K51+Riverbend!K51+'D Johnson Rehab Ctr'!K51+Turney!K51</f>
        <v>0</v>
      </c>
      <c r="K48" s="321"/>
      <c r="L48" s="321"/>
    </row>
    <row r="49" spans="2:13" x14ac:dyDescent="0.3">
      <c r="B49" s="667" t="s">
        <v>597</v>
      </c>
      <c r="C49" s="27"/>
      <c r="D49" s="27"/>
      <c r="E49" s="27"/>
      <c r="H49" s="167"/>
      <c r="I49" s="29"/>
      <c r="J49" s="546">
        <v>0</v>
      </c>
      <c r="K49" s="233"/>
    </row>
    <row r="50" spans="2:13" x14ac:dyDescent="0.3">
      <c r="B50" s="667" t="s">
        <v>192</v>
      </c>
      <c r="C50" s="27"/>
      <c r="D50" s="27"/>
      <c r="E50" s="27"/>
      <c r="H50" s="167"/>
      <c r="I50" s="29"/>
      <c r="J50" s="546">
        <f>'Inv Usage Credits'!R74*-1</f>
        <v>0</v>
      </c>
      <c r="K50" s="233"/>
    </row>
    <row r="51" spans="2:13" x14ac:dyDescent="0.3">
      <c r="B51" s="667" t="s">
        <v>639</v>
      </c>
      <c r="C51" s="27"/>
      <c r="D51" s="27"/>
      <c r="E51" s="27"/>
      <c r="H51" s="167"/>
      <c r="I51" s="29"/>
      <c r="J51" s="546">
        <v>0</v>
      </c>
      <c r="K51" s="233"/>
    </row>
    <row r="52" spans="2:13" ht="16.2" thickBot="1" x14ac:dyDescent="0.35">
      <c r="B52" s="665"/>
      <c r="C52" s="29"/>
      <c r="D52" s="29"/>
      <c r="E52" s="29"/>
      <c r="H52" s="29"/>
      <c r="I52" s="29" t="s">
        <v>41</v>
      </c>
      <c r="J52" s="32">
        <f>SUM(J39:J51)</f>
        <v>2244487.6264157314</v>
      </c>
      <c r="L52" s="204"/>
      <c r="M52" s="204"/>
    </row>
    <row r="53" spans="2:13" ht="15.6" thickTop="1" thickBot="1" x14ac:dyDescent="0.35">
      <c r="B53" s="668"/>
      <c r="C53" s="30"/>
      <c r="D53" s="30"/>
      <c r="E53" s="30"/>
      <c r="F53" s="186"/>
      <c r="G53" s="186"/>
      <c r="H53" s="31"/>
      <c r="I53" s="30"/>
      <c r="J53" s="28"/>
    </row>
    <row r="54" spans="2:13" ht="16.2" x14ac:dyDescent="0.35">
      <c r="C54" s="12"/>
      <c r="D54" s="13"/>
      <c r="E54" s="13"/>
      <c r="H54" s="13"/>
      <c r="I54" s="13"/>
      <c r="J54" s="13"/>
      <c r="K54" s="14"/>
    </row>
    <row r="55" spans="2:13" ht="16.2" x14ac:dyDescent="0.35">
      <c r="C55" s="15"/>
      <c r="D55" s="16"/>
      <c r="E55" s="16"/>
      <c r="H55" s="16"/>
      <c r="I55" s="16"/>
      <c r="J55" s="16"/>
      <c r="K55" s="17"/>
    </row>
    <row r="56" spans="2:13" ht="15.6" x14ac:dyDescent="0.3">
      <c r="C56" s="18"/>
      <c r="D56" s="19"/>
      <c r="E56" s="19"/>
      <c r="H56" s="19"/>
      <c r="I56" s="19"/>
      <c r="J56" s="20"/>
      <c r="K56" s="21"/>
    </row>
    <row r="57" spans="2:13" ht="15.6" x14ac:dyDescent="0.3">
      <c r="C57" s="4"/>
      <c r="D57" s="22"/>
      <c r="E57" s="22"/>
      <c r="G57" s="4" t="s">
        <v>7</v>
      </c>
      <c r="H57" s="25"/>
      <c r="I57" s="25"/>
      <c r="J57" s="21"/>
      <c r="K57" s="24"/>
    </row>
    <row r="58" spans="2:13" x14ac:dyDescent="0.3">
      <c r="C58" s="4"/>
      <c r="D58" s="25"/>
      <c r="E58" s="25"/>
    </row>
  </sheetData>
  <mergeCells count="4">
    <mergeCell ref="G18:I18"/>
    <mergeCell ref="G14:I14"/>
    <mergeCell ref="G15:I15"/>
    <mergeCell ref="G16:I16"/>
  </mergeCells>
  <dataValidations disablePrompts="1" count="1">
    <dataValidation type="list" allowBlank="1" showInputMessage="1" showErrorMessage="1" sqref="G6 I6" xr:uid="{00000000-0002-0000-0700-000000000000}">
      <formula1>$S$7:$S$13</formula1>
    </dataValidation>
  </dataValidations>
  <pageMargins left="0.45" right="0.45" top="0.25" bottom="0.25" header="0" footer="0"/>
  <pageSetup scale="5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51"/>
  <sheetViews>
    <sheetView showGridLines="0" zoomScale="90" zoomScaleNormal="90" workbookViewId="0">
      <selection activeCell="S6" sqref="S6"/>
    </sheetView>
  </sheetViews>
  <sheetFormatPr defaultRowHeight="14.4" x14ac:dyDescent="0.3"/>
  <cols>
    <col min="1" max="1" width="12.88671875" bestFit="1" customWidth="1"/>
    <col min="2" max="26" width="5.5546875" customWidth="1"/>
    <col min="27" max="27" width="7" customWidth="1"/>
    <col min="28" max="29" width="6" customWidth="1"/>
    <col min="30" max="30" width="10.44140625" customWidth="1"/>
  </cols>
  <sheetData>
    <row r="1" spans="1:30" x14ac:dyDescent="0.3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x14ac:dyDescent="0.3">
      <c r="A2" s="92"/>
      <c r="B2" s="92"/>
      <c r="C2" s="92"/>
      <c r="D2" s="92"/>
      <c r="E2" s="92"/>
      <c r="F2" s="92"/>
      <c r="G2" s="92"/>
      <c r="H2" s="92"/>
      <c r="I2" s="92"/>
      <c r="J2" s="94" t="s">
        <v>12</v>
      </c>
      <c r="K2" s="127">
        <f>'DOC Invoice'!J2</f>
        <v>11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0" ht="25.8" x14ac:dyDescent="0.5">
      <c r="A3" s="92"/>
      <c r="B3" s="92"/>
      <c r="C3" s="92"/>
      <c r="D3" s="92"/>
      <c r="E3" s="92"/>
      <c r="F3" s="92"/>
      <c r="G3" s="92"/>
      <c r="H3" s="92"/>
      <c r="I3" s="92"/>
      <c r="J3" s="94" t="s">
        <v>14</v>
      </c>
      <c r="K3" s="878">
        <f>'DOC Invoice'!J3</f>
        <v>45139</v>
      </c>
      <c r="L3" s="878"/>
      <c r="M3" s="92"/>
      <c r="N3" s="92"/>
      <c r="O3" s="128" t="s">
        <v>42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</row>
    <row r="4" spans="1:30" x14ac:dyDescent="0.3">
      <c r="A4" s="92"/>
      <c r="B4" s="92"/>
      <c r="C4" s="92"/>
      <c r="D4" s="92"/>
      <c r="E4" s="92"/>
      <c r="F4" s="92"/>
      <c r="G4" s="92"/>
      <c r="H4" s="92"/>
      <c r="I4" s="92"/>
      <c r="J4" s="94" t="s">
        <v>15</v>
      </c>
      <c r="K4" s="878">
        <f>'DOC Invoice'!J4</f>
        <v>45169</v>
      </c>
      <c r="L4" s="878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1:30" ht="15.6" x14ac:dyDescent="0.3">
      <c r="A5" s="92"/>
      <c r="B5" s="129"/>
      <c r="C5" s="129"/>
      <c r="D5" s="129"/>
      <c r="E5" s="129"/>
      <c r="F5" s="129"/>
      <c r="G5" s="130"/>
      <c r="H5" s="130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92"/>
      <c r="AD5" s="92"/>
    </row>
    <row r="6" spans="1:30" ht="147" thickBot="1" x14ac:dyDescent="0.35">
      <c r="A6" s="92"/>
      <c r="B6" s="132" t="str">
        <f>Bledsoe!G6</f>
        <v>Bledsoe County Correctional Complex</v>
      </c>
      <c r="C6" s="132" t="str">
        <f>Luttrell!G6</f>
        <v>Mark Luttrell Correctional Center</v>
      </c>
      <c r="D6" s="133" t="str">
        <f>'Northeast Carter Co Annex'!E6</f>
        <v>Northeast Carter County Annex</v>
      </c>
      <c r="E6" s="133" t="str">
        <f>Northwest!G6</f>
        <v>Northwest Correctional Complex</v>
      </c>
      <c r="F6" s="133" t="str">
        <f>'TN Corrections Academy'!G6</f>
        <v>Tennessee Corrections Academy</v>
      </c>
      <c r="G6" s="133" t="str">
        <f>'Turney Annex'!G6</f>
        <v>Turney Center Industrial Complex Annex</v>
      </c>
      <c r="H6" s="132" t="str">
        <f>'West TN State'!G6</f>
        <v>West Tennessee State Penitentiary</v>
      </c>
      <c r="I6" s="133" t="str">
        <f>DeBerry!G6</f>
        <v>DeBerry Special Needs Facility</v>
      </c>
      <c r="J6" s="132" t="str">
        <f>Morgan!G6</f>
        <v>Morgan County Correctional Complex</v>
      </c>
      <c r="K6" s="132" t="str">
        <f>Northeast!G6</f>
        <v>Northeast Correctional Complex</v>
      </c>
      <c r="L6" s="134" t="str">
        <f>Riverbend!G6</f>
        <v>Riverbend Maximum Security Institution</v>
      </c>
      <c r="M6" s="132" t="str">
        <f>'D Johnson Rehab Ctr'!G6</f>
        <v>Tennessee Prison for Women</v>
      </c>
      <c r="N6" s="133" t="str">
        <f>Turney!G6</f>
        <v>Turney Center Industrial Complex</v>
      </c>
      <c r="O6" s="132"/>
      <c r="P6" s="133"/>
      <c r="Q6" s="132"/>
      <c r="R6" s="132"/>
      <c r="S6" s="133"/>
      <c r="T6" s="133"/>
      <c r="U6" s="133"/>
      <c r="V6" s="132"/>
      <c r="W6" s="132"/>
      <c r="X6" s="132"/>
      <c r="Y6" s="132"/>
      <c r="Z6" s="132"/>
      <c r="AA6" s="135" t="s">
        <v>44</v>
      </c>
      <c r="AB6" s="136"/>
      <c r="AC6" s="137" t="s">
        <v>43</v>
      </c>
      <c r="AD6" s="138" t="s">
        <v>45</v>
      </c>
    </row>
    <row r="7" spans="1:30" x14ac:dyDescent="0.3">
      <c r="A7" s="139">
        <f>'Kosher Summary'!K3</f>
        <v>45139</v>
      </c>
      <c r="B7" s="140"/>
      <c r="C7" s="140"/>
      <c r="D7" s="140"/>
      <c r="E7" s="140"/>
      <c r="F7" s="141"/>
      <c r="G7" s="141"/>
      <c r="H7" s="141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2"/>
      <c r="AA7" s="143">
        <f>SUM(B7:Z7)</f>
        <v>0</v>
      </c>
      <c r="AB7" s="144">
        <f>IF(AA7&lt;=260,0,AA7-260)</f>
        <v>0</v>
      </c>
      <c r="AC7" s="145"/>
      <c r="AD7" s="146">
        <f>AC7*AB7</f>
        <v>0</v>
      </c>
    </row>
    <row r="8" spans="1:30" x14ac:dyDescent="0.3">
      <c r="A8" s="139">
        <f t="shared" ref="A8:A48" si="0">IF(A7+1&lt;=$K$4,A7+1,0)</f>
        <v>45140</v>
      </c>
      <c r="B8" s="140"/>
      <c r="C8" s="140"/>
      <c r="D8" s="140"/>
      <c r="E8" s="140"/>
      <c r="F8" s="141"/>
      <c r="G8" s="141"/>
      <c r="H8" s="141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2"/>
      <c r="AA8" s="147">
        <f>SUM(B8:Z8)</f>
        <v>0</v>
      </c>
      <c r="AB8" s="148">
        <f t="shared" ref="AB8:AB48" si="1">IF(AA8&lt;=260,0,AA8-260)</f>
        <v>0</v>
      </c>
      <c r="AC8" s="149"/>
      <c r="AD8" s="150">
        <f t="shared" ref="AD8:AD48" si="2">AC8*AB8</f>
        <v>0</v>
      </c>
    </row>
    <row r="9" spans="1:30" x14ac:dyDescent="0.3">
      <c r="A9" s="139">
        <f t="shared" si="0"/>
        <v>45141</v>
      </c>
      <c r="B9" s="140"/>
      <c r="C9" s="140"/>
      <c r="D9" s="140"/>
      <c r="E9" s="140"/>
      <c r="F9" s="141"/>
      <c r="G9" s="141"/>
      <c r="H9" s="141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2"/>
      <c r="AA9" s="147">
        <f>SUM(B9:Z9)</f>
        <v>0</v>
      </c>
      <c r="AB9" s="148">
        <f t="shared" si="1"/>
        <v>0</v>
      </c>
      <c r="AC9" s="149"/>
      <c r="AD9" s="150">
        <f t="shared" si="2"/>
        <v>0</v>
      </c>
    </row>
    <row r="10" spans="1:30" x14ac:dyDescent="0.3">
      <c r="A10" s="139">
        <f t="shared" si="0"/>
        <v>45142</v>
      </c>
      <c r="B10" s="140"/>
      <c r="C10" s="140"/>
      <c r="D10" s="140"/>
      <c r="E10" s="140"/>
      <c r="F10" s="141"/>
      <c r="G10" s="141"/>
      <c r="H10" s="141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2"/>
      <c r="AA10" s="147">
        <f>SUM(B10:Z10)</f>
        <v>0</v>
      </c>
      <c r="AB10" s="148">
        <f t="shared" si="1"/>
        <v>0</v>
      </c>
      <c r="AC10" s="149"/>
      <c r="AD10" s="150">
        <f t="shared" si="2"/>
        <v>0</v>
      </c>
    </row>
    <row r="11" spans="1:30" x14ac:dyDescent="0.3">
      <c r="A11" s="139">
        <f t="shared" si="0"/>
        <v>45143</v>
      </c>
      <c r="B11" s="140"/>
      <c r="C11" s="140"/>
      <c r="D11" s="140"/>
      <c r="E11" s="140"/>
      <c r="F11" s="141"/>
      <c r="G11" s="141"/>
      <c r="H11" s="141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2"/>
      <c r="AA11" s="147">
        <f>SUM(B11:Z11)</f>
        <v>0</v>
      </c>
      <c r="AB11" s="148">
        <f t="shared" si="1"/>
        <v>0</v>
      </c>
      <c r="AC11" s="149"/>
      <c r="AD11" s="150">
        <f t="shared" si="2"/>
        <v>0</v>
      </c>
    </row>
    <row r="12" spans="1:30" x14ac:dyDescent="0.3">
      <c r="A12" s="139">
        <f t="shared" si="0"/>
        <v>45144</v>
      </c>
      <c r="B12" s="140"/>
      <c r="C12" s="140"/>
      <c r="D12" s="140"/>
      <c r="E12" s="140"/>
      <c r="F12" s="141"/>
      <c r="G12" s="141"/>
      <c r="H12" s="141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2"/>
      <c r="AA12" s="147">
        <f t="shared" ref="AA12:AA48" si="3">SUM(B12:Z12)</f>
        <v>0</v>
      </c>
      <c r="AB12" s="148">
        <f t="shared" si="1"/>
        <v>0</v>
      </c>
      <c r="AC12" s="149"/>
      <c r="AD12" s="150">
        <f t="shared" si="2"/>
        <v>0</v>
      </c>
    </row>
    <row r="13" spans="1:30" x14ac:dyDescent="0.3">
      <c r="A13" s="139">
        <f t="shared" si="0"/>
        <v>45145</v>
      </c>
      <c r="B13" s="140"/>
      <c r="C13" s="140"/>
      <c r="D13" s="140"/>
      <c r="E13" s="140"/>
      <c r="F13" s="141"/>
      <c r="G13" s="141"/>
      <c r="H13" s="141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2"/>
      <c r="AA13" s="147">
        <f t="shared" si="3"/>
        <v>0</v>
      </c>
      <c r="AB13" s="148">
        <f t="shared" si="1"/>
        <v>0</v>
      </c>
      <c r="AC13" s="149"/>
      <c r="AD13" s="150">
        <f t="shared" si="2"/>
        <v>0</v>
      </c>
    </row>
    <row r="14" spans="1:30" x14ac:dyDescent="0.3">
      <c r="A14" s="139">
        <f t="shared" si="0"/>
        <v>45146</v>
      </c>
      <c r="B14" s="140"/>
      <c r="C14" s="140"/>
      <c r="D14" s="140"/>
      <c r="E14" s="140"/>
      <c r="F14" s="141"/>
      <c r="G14" s="141"/>
      <c r="H14" s="141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2"/>
      <c r="AA14" s="147">
        <f t="shared" si="3"/>
        <v>0</v>
      </c>
      <c r="AB14" s="148">
        <f t="shared" si="1"/>
        <v>0</v>
      </c>
      <c r="AC14" s="149"/>
      <c r="AD14" s="150">
        <f t="shared" si="2"/>
        <v>0</v>
      </c>
    </row>
    <row r="15" spans="1:30" x14ac:dyDescent="0.3">
      <c r="A15" s="139">
        <f t="shared" si="0"/>
        <v>45147</v>
      </c>
      <c r="B15" s="140"/>
      <c r="C15" s="140"/>
      <c r="D15" s="140"/>
      <c r="E15" s="140"/>
      <c r="F15" s="141"/>
      <c r="G15" s="141"/>
      <c r="H15" s="141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2"/>
      <c r="AA15" s="147">
        <f t="shared" si="3"/>
        <v>0</v>
      </c>
      <c r="AB15" s="148">
        <f t="shared" si="1"/>
        <v>0</v>
      </c>
      <c r="AC15" s="149"/>
      <c r="AD15" s="150">
        <f t="shared" si="2"/>
        <v>0</v>
      </c>
    </row>
    <row r="16" spans="1:30" x14ac:dyDescent="0.3">
      <c r="A16" s="139">
        <f t="shared" si="0"/>
        <v>45148</v>
      </c>
      <c r="B16" s="140"/>
      <c r="C16" s="140"/>
      <c r="D16" s="140"/>
      <c r="E16" s="140"/>
      <c r="F16" s="141"/>
      <c r="G16" s="141"/>
      <c r="H16" s="141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2"/>
      <c r="AA16" s="147">
        <f t="shared" si="3"/>
        <v>0</v>
      </c>
      <c r="AB16" s="148">
        <f t="shared" si="1"/>
        <v>0</v>
      </c>
      <c r="AC16" s="149"/>
      <c r="AD16" s="150">
        <f>AC16*AB16</f>
        <v>0</v>
      </c>
    </row>
    <row r="17" spans="1:30" x14ac:dyDescent="0.3">
      <c r="A17" s="139">
        <f t="shared" si="0"/>
        <v>45149</v>
      </c>
      <c r="B17" s="140"/>
      <c r="C17" s="140"/>
      <c r="D17" s="140"/>
      <c r="E17" s="140"/>
      <c r="F17" s="141"/>
      <c r="G17" s="141"/>
      <c r="H17" s="141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2"/>
      <c r="AA17" s="147">
        <f t="shared" si="3"/>
        <v>0</v>
      </c>
      <c r="AB17" s="148">
        <f t="shared" si="1"/>
        <v>0</v>
      </c>
      <c r="AC17" s="149"/>
      <c r="AD17" s="150">
        <f t="shared" si="2"/>
        <v>0</v>
      </c>
    </row>
    <row r="18" spans="1:30" x14ac:dyDescent="0.3">
      <c r="A18" s="139">
        <f t="shared" si="0"/>
        <v>45150</v>
      </c>
      <c r="B18" s="140"/>
      <c r="C18" s="140"/>
      <c r="D18" s="140"/>
      <c r="E18" s="140"/>
      <c r="F18" s="141"/>
      <c r="G18" s="141"/>
      <c r="H18" s="141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2"/>
      <c r="AA18" s="147">
        <f t="shared" si="3"/>
        <v>0</v>
      </c>
      <c r="AB18" s="148">
        <f t="shared" si="1"/>
        <v>0</v>
      </c>
      <c r="AC18" s="149"/>
      <c r="AD18" s="150">
        <f t="shared" si="2"/>
        <v>0</v>
      </c>
    </row>
    <row r="19" spans="1:30" x14ac:dyDescent="0.3">
      <c r="A19" s="139">
        <f t="shared" si="0"/>
        <v>45151</v>
      </c>
      <c r="B19" s="140"/>
      <c r="C19" s="140"/>
      <c r="D19" s="140"/>
      <c r="E19" s="140"/>
      <c r="F19" s="141"/>
      <c r="G19" s="141"/>
      <c r="H19" s="141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2"/>
      <c r="AA19" s="147">
        <f t="shared" si="3"/>
        <v>0</v>
      </c>
      <c r="AB19" s="148">
        <f t="shared" si="1"/>
        <v>0</v>
      </c>
      <c r="AC19" s="149"/>
      <c r="AD19" s="150">
        <f t="shared" si="2"/>
        <v>0</v>
      </c>
    </row>
    <row r="20" spans="1:30" x14ac:dyDescent="0.3">
      <c r="A20" s="139">
        <f t="shared" si="0"/>
        <v>45152</v>
      </c>
      <c r="B20" s="140"/>
      <c r="C20" s="140"/>
      <c r="D20" s="140"/>
      <c r="E20" s="140"/>
      <c r="F20" s="141"/>
      <c r="G20" s="141"/>
      <c r="H20" s="141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2"/>
      <c r="AA20" s="147">
        <f t="shared" si="3"/>
        <v>0</v>
      </c>
      <c r="AB20" s="148">
        <f t="shared" si="1"/>
        <v>0</v>
      </c>
      <c r="AC20" s="149"/>
      <c r="AD20" s="150">
        <f t="shared" si="2"/>
        <v>0</v>
      </c>
    </row>
    <row r="21" spans="1:30" x14ac:dyDescent="0.3">
      <c r="A21" s="139">
        <f t="shared" si="0"/>
        <v>45153</v>
      </c>
      <c r="B21" s="140"/>
      <c r="C21" s="140"/>
      <c r="D21" s="140"/>
      <c r="E21" s="140"/>
      <c r="F21" s="141"/>
      <c r="G21" s="141"/>
      <c r="H21" s="141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2"/>
      <c r="AA21" s="147">
        <f t="shared" si="3"/>
        <v>0</v>
      </c>
      <c r="AB21" s="148">
        <f t="shared" si="1"/>
        <v>0</v>
      </c>
      <c r="AC21" s="149"/>
      <c r="AD21" s="150">
        <f t="shared" si="2"/>
        <v>0</v>
      </c>
    </row>
    <row r="22" spans="1:30" x14ac:dyDescent="0.3">
      <c r="A22" s="139">
        <f t="shared" si="0"/>
        <v>45154</v>
      </c>
      <c r="B22" s="140"/>
      <c r="C22" s="140"/>
      <c r="D22" s="140"/>
      <c r="E22" s="140"/>
      <c r="F22" s="141"/>
      <c r="G22" s="141"/>
      <c r="H22" s="141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2"/>
      <c r="AA22" s="147">
        <f t="shared" si="3"/>
        <v>0</v>
      </c>
      <c r="AB22" s="148">
        <f t="shared" si="1"/>
        <v>0</v>
      </c>
      <c r="AC22" s="149"/>
      <c r="AD22" s="150">
        <f t="shared" si="2"/>
        <v>0</v>
      </c>
    </row>
    <row r="23" spans="1:30" x14ac:dyDescent="0.3">
      <c r="A23" s="139">
        <f t="shared" si="0"/>
        <v>45155</v>
      </c>
      <c r="B23" s="140"/>
      <c r="C23" s="140"/>
      <c r="D23" s="140"/>
      <c r="E23" s="140"/>
      <c r="F23" s="141"/>
      <c r="G23" s="141"/>
      <c r="H23" s="141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2"/>
      <c r="AA23" s="147">
        <f t="shared" si="3"/>
        <v>0</v>
      </c>
      <c r="AB23" s="148">
        <f t="shared" si="1"/>
        <v>0</v>
      </c>
      <c r="AC23" s="149"/>
      <c r="AD23" s="150">
        <f t="shared" si="2"/>
        <v>0</v>
      </c>
    </row>
    <row r="24" spans="1:30" x14ac:dyDescent="0.3">
      <c r="A24" s="139">
        <f t="shared" si="0"/>
        <v>45156</v>
      </c>
      <c r="B24" s="140"/>
      <c r="C24" s="140"/>
      <c r="D24" s="140"/>
      <c r="E24" s="140"/>
      <c r="F24" s="141"/>
      <c r="G24" s="141"/>
      <c r="H24" s="141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2"/>
      <c r="AA24" s="147">
        <f t="shared" si="3"/>
        <v>0</v>
      </c>
      <c r="AB24" s="148">
        <f t="shared" si="1"/>
        <v>0</v>
      </c>
      <c r="AC24" s="149"/>
      <c r="AD24" s="150">
        <f t="shared" si="2"/>
        <v>0</v>
      </c>
    </row>
    <row r="25" spans="1:30" x14ac:dyDescent="0.3">
      <c r="A25" s="139">
        <f t="shared" si="0"/>
        <v>45157</v>
      </c>
      <c r="B25" s="140"/>
      <c r="C25" s="140"/>
      <c r="D25" s="140"/>
      <c r="E25" s="140"/>
      <c r="F25" s="141"/>
      <c r="G25" s="141"/>
      <c r="H25" s="141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2"/>
      <c r="AA25" s="147">
        <f t="shared" si="3"/>
        <v>0</v>
      </c>
      <c r="AB25" s="148">
        <f t="shared" si="1"/>
        <v>0</v>
      </c>
      <c r="AC25" s="149"/>
      <c r="AD25" s="150">
        <f t="shared" si="2"/>
        <v>0</v>
      </c>
    </row>
    <row r="26" spans="1:30" x14ac:dyDescent="0.3">
      <c r="A26" s="139">
        <f t="shared" si="0"/>
        <v>45158</v>
      </c>
      <c r="B26" s="140"/>
      <c r="C26" s="140"/>
      <c r="D26" s="140"/>
      <c r="E26" s="140"/>
      <c r="F26" s="141"/>
      <c r="G26" s="141"/>
      <c r="H26" s="141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2"/>
      <c r="AA26" s="147">
        <f t="shared" si="3"/>
        <v>0</v>
      </c>
      <c r="AB26" s="148">
        <f t="shared" si="1"/>
        <v>0</v>
      </c>
      <c r="AC26" s="149"/>
      <c r="AD26" s="150">
        <f t="shared" si="2"/>
        <v>0</v>
      </c>
    </row>
    <row r="27" spans="1:30" x14ac:dyDescent="0.3">
      <c r="A27" s="139">
        <f t="shared" si="0"/>
        <v>45159</v>
      </c>
      <c r="B27" s="140"/>
      <c r="C27" s="140"/>
      <c r="D27" s="140"/>
      <c r="E27" s="140"/>
      <c r="F27" s="141"/>
      <c r="G27" s="141"/>
      <c r="H27" s="141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2"/>
      <c r="AA27" s="147">
        <f t="shared" si="3"/>
        <v>0</v>
      </c>
      <c r="AB27" s="148">
        <f t="shared" si="1"/>
        <v>0</v>
      </c>
      <c r="AC27" s="149"/>
      <c r="AD27" s="150">
        <f t="shared" si="2"/>
        <v>0</v>
      </c>
    </row>
    <row r="28" spans="1:30" x14ac:dyDescent="0.3">
      <c r="A28" s="139">
        <f t="shared" si="0"/>
        <v>45160</v>
      </c>
      <c r="B28" s="140"/>
      <c r="C28" s="140"/>
      <c r="D28" s="140"/>
      <c r="E28" s="140"/>
      <c r="F28" s="141"/>
      <c r="G28" s="141"/>
      <c r="H28" s="141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2"/>
      <c r="AA28" s="147">
        <f t="shared" si="3"/>
        <v>0</v>
      </c>
      <c r="AB28" s="148">
        <f t="shared" si="1"/>
        <v>0</v>
      </c>
      <c r="AC28" s="149"/>
      <c r="AD28" s="150">
        <f t="shared" si="2"/>
        <v>0</v>
      </c>
    </row>
    <row r="29" spans="1:30" x14ac:dyDescent="0.3">
      <c r="A29" s="139">
        <f t="shared" si="0"/>
        <v>45161</v>
      </c>
      <c r="B29" s="140"/>
      <c r="C29" s="140"/>
      <c r="D29" s="140"/>
      <c r="E29" s="140"/>
      <c r="F29" s="141"/>
      <c r="G29" s="141"/>
      <c r="H29" s="141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2"/>
      <c r="AA29" s="147">
        <f t="shared" si="3"/>
        <v>0</v>
      </c>
      <c r="AB29" s="148">
        <f t="shared" si="1"/>
        <v>0</v>
      </c>
      <c r="AC29" s="149"/>
      <c r="AD29" s="150">
        <f t="shared" si="2"/>
        <v>0</v>
      </c>
    </row>
    <row r="30" spans="1:30" x14ac:dyDescent="0.3">
      <c r="A30" s="139">
        <f t="shared" si="0"/>
        <v>45162</v>
      </c>
      <c r="B30" s="140"/>
      <c r="C30" s="140"/>
      <c r="D30" s="140"/>
      <c r="E30" s="140"/>
      <c r="F30" s="141"/>
      <c r="G30" s="141"/>
      <c r="H30" s="141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2"/>
      <c r="AA30" s="147">
        <f t="shared" si="3"/>
        <v>0</v>
      </c>
      <c r="AB30" s="148">
        <f t="shared" si="1"/>
        <v>0</v>
      </c>
      <c r="AC30" s="149"/>
      <c r="AD30" s="150">
        <f t="shared" si="2"/>
        <v>0</v>
      </c>
    </row>
    <row r="31" spans="1:30" x14ac:dyDescent="0.3">
      <c r="A31" s="139">
        <f t="shared" si="0"/>
        <v>45163</v>
      </c>
      <c r="B31" s="140"/>
      <c r="C31" s="140"/>
      <c r="D31" s="140"/>
      <c r="E31" s="140"/>
      <c r="F31" s="141"/>
      <c r="G31" s="141"/>
      <c r="H31" s="141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2"/>
      <c r="AA31" s="147">
        <f t="shared" si="3"/>
        <v>0</v>
      </c>
      <c r="AB31" s="148">
        <f t="shared" si="1"/>
        <v>0</v>
      </c>
      <c r="AC31" s="149"/>
      <c r="AD31" s="150">
        <f t="shared" si="2"/>
        <v>0</v>
      </c>
    </row>
    <row r="32" spans="1:30" x14ac:dyDescent="0.3">
      <c r="A32" s="139">
        <f t="shared" si="0"/>
        <v>45164</v>
      </c>
      <c r="B32" s="140"/>
      <c r="C32" s="140"/>
      <c r="D32" s="140"/>
      <c r="E32" s="140"/>
      <c r="F32" s="141"/>
      <c r="G32" s="141"/>
      <c r="H32" s="141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2"/>
      <c r="AA32" s="147">
        <f t="shared" si="3"/>
        <v>0</v>
      </c>
      <c r="AB32" s="148">
        <f t="shared" si="1"/>
        <v>0</v>
      </c>
      <c r="AC32" s="149"/>
      <c r="AD32" s="150">
        <f t="shared" si="2"/>
        <v>0</v>
      </c>
    </row>
    <row r="33" spans="1:30" x14ac:dyDescent="0.3">
      <c r="A33" s="139">
        <f t="shared" si="0"/>
        <v>45165</v>
      </c>
      <c r="B33" s="140"/>
      <c r="C33" s="140"/>
      <c r="D33" s="140"/>
      <c r="E33" s="140"/>
      <c r="F33" s="141"/>
      <c r="G33" s="141"/>
      <c r="H33" s="141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2"/>
      <c r="AA33" s="147">
        <f t="shared" si="3"/>
        <v>0</v>
      </c>
      <c r="AB33" s="148">
        <f t="shared" si="1"/>
        <v>0</v>
      </c>
      <c r="AC33" s="149"/>
      <c r="AD33" s="150">
        <f t="shared" si="2"/>
        <v>0</v>
      </c>
    </row>
    <row r="34" spans="1:30" x14ac:dyDescent="0.3">
      <c r="A34" s="139">
        <f t="shared" si="0"/>
        <v>45166</v>
      </c>
      <c r="B34" s="140"/>
      <c r="C34" s="140"/>
      <c r="D34" s="140"/>
      <c r="E34" s="140"/>
      <c r="F34" s="141"/>
      <c r="G34" s="141"/>
      <c r="H34" s="141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2"/>
      <c r="AA34" s="147">
        <f t="shared" si="3"/>
        <v>0</v>
      </c>
      <c r="AB34" s="148">
        <f t="shared" si="1"/>
        <v>0</v>
      </c>
      <c r="AC34" s="149"/>
      <c r="AD34" s="150">
        <f t="shared" si="2"/>
        <v>0</v>
      </c>
    </row>
    <row r="35" spans="1:30" x14ac:dyDescent="0.3">
      <c r="A35" s="139">
        <f t="shared" si="0"/>
        <v>45167</v>
      </c>
      <c r="B35" s="140"/>
      <c r="C35" s="140"/>
      <c r="D35" s="140"/>
      <c r="E35" s="140"/>
      <c r="F35" s="141"/>
      <c r="G35" s="141"/>
      <c r="H35" s="141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2"/>
      <c r="AA35" s="147">
        <f t="shared" si="3"/>
        <v>0</v>
      </c>
      <c r="AB35" s="148">
        <f t="shared" si="1"/>
        <v>0</v>
      </c>
      <c r="AC35" s="149"/>
      <c r="AD35" s="150">
        <f t="shared" si="2"/>
        <v>0</v>
      </c>
    </row>
    <row r="36" spans="1:30" x14ac:dyDescent="0.3">
      <c r="A36" s="139">
        <f t="shared" si="0"/>
        <v>45168</v>
      </c>
      <c r="B36" s="140"/>
      <c r="C36" s="140"/>
      <c r="D36" s="140"/>
      <c r="E36" s="140"/>
      <c r="F36" s="141"/>
      <c r="G36" s="141"/>
      <c r="H36" s="141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2"/>
      <c r="AA36" s="147">
        <f t="shared" si="3"/>
        <v>0</v>
      </c>
      <c r="AB36" s="148">
        <f t="shared" si="1"/>
        <v>0</v>
      </c>
      <c r="AC36" s="149"/>
      <c r="AD36" s="150">
        <f t="shared" si="2"/>
        <v>0</v>
      </c>
    </row>
    <row r="37" spans="1:30" x14ac:dyDescent="0.3">
      <c r="A37" s="139">
        <f t="shared" si="0"/>
        <v>45169</v>
      </c>
      <c r="B37" s="140"/>
      <c r="C37" s="140"/>
      <c r="D37" s="140"/>
      <c r="E37" s="140"/>
      <c r="F37" s="141"/>
      <c r="G37" s="141"/>
      <c r="H37" s="141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2"/>
      <c r="AA37" s="147">
        <f t="shared" si="3"/>
        <v>0</v>
      </c>
      <c r="AB37" s="148">
        <f t="shared" si="1"/>
        <v>0</v>
      </c>
      <c r="AC37" s="149"/>
      <c r="AD37" s="150">
        <f t="shared" si="2"/>
        <v>0</v>
      </c>
    </row>
    <row r="38" spans="1:30" x14ac:dyDescent="0.3">
      <c r="A38" s="139">
        <f t="shared" si="0"/>
        <v>0</v>
      </c>
      <c r="B38" s="140"/>
      <c r="C38" s="140"/>
      <c r="D38" s="140"/>
      <c r="E38" s="140"/>
      <c r="F38" s="141"/>
      <c r="G38" s="141"/>
      <c r="H38" s="141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2"/>
      <c r="AA38" s="147">
        <f t="shared" si="3"/>
        <v>0</v>
      </c>
      <c r="AB38" s="148">
        <f t="shared" si="1"/>
        <v>0</v>
      </c>
      <c r="AC38" s="149"/>
      <c r="AD38" s="150">
        <f t="shared" si="2"/>
        <v>0</v>
      </c>
    </row>
    <row r="39" spans="1:30" x14ac:dyDescent="0.3">
      <c r="A39" s="139">
        <f t="shared" si="0"/>
        <v>1</v>
      </c>
      <c r="B39" s="140"/>
      <c r="C39" s="140"/>
      <c r="D39" s="140"/>
      <c r="E39" s="140"/>
      <c r="F39" s="141"/>
      <c r="G39" s="141"/>
      <c r="H39" s="141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2"/>
      <c r="AA39" s="147">
        <f t="shared" si="3"/>
        <v>0</v>
      </c>
      <c r="AB39" s="148">
        <f t="shared" si="1"/>
        <v>0</v>
      </c>
      <c r="AC39" s="149"/>
      <c r="AD39" s="150">
        <f t="shared" si="2"/>
        <v>0</v>
      </c>
    </row>
    <row r="40" spans="1:30" x14ac:dyDescent="0.3">
      <c r="A40" s="139">
        <f t="shared" si="0"/>
        <v>2</v>
      </c>
      <c r="B40" s="140"/>
      <c r="C40" s="140"/>
      <c r="D40" s="140"/>
      <c r="E40" s="140"/>
      <c r="F40" s="141"/>
      <c r="G40" s="141"/>
      <c r="H40" s="141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2"/>
      <c r="AA40" s="147">
        <f t="shared" si="3"/>
        <v>0</v>
      </c>
      <c r="AB40" s="148">
        <f t="shared" si="1"/>
        <v>0</v>
      </c>
      <c r="AC40" s="149"/>
      <c r="AD40" s="150">
        <f t="shared" si="2"/>
        <v>0</v>
      </c>
    </row>
    <row r="41" spans="1:30" x14ac:dyDescent="0.3">
      <c r="A41" s="139">
        <f t="shared" si="0"/>
        <v>3</v>
      </c>
      <c r="B41" s="140"/>
      <c r="C41" s="140"/>
      <c r="D41" s="140"/>
      <c r="E41" s="140"/>
      <c r="F41" s="141"/>
      <c r="G41" s="141"/>
      <c r="H41" s="141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2"/>
      <c r="AA41" s="147">
        <f t="shared" si="3"/>
        <v>0</v>
      </c>
      <c r="AB41" s="148">
        <f t="shared" si="1"/>
        <v>0</v>
      </c>
      <c r="AC41" s="149"/>
      <c r="AD41" s="150">
        <f t="shared" si="2"/>
        <v>0</v>
      </c>
    </row>
    <row r="42" spans="1:30" x14ac:dyDescent="0.3">
      <c r="A42" s="139">
        <f t="shared" si="0"/>
        <v>4</v>
      </c>
      <c r="B42" s="140"/>
      <c r="C42" s="140"/>
      <c r="D42" s="140"/>
      <c r="E42" s="140"/>
      <c r="F42" s="141"/>
      <c r="G42" s="141"/>
      <c r="H42" s="141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2"/>
      <c r="AA42" s="147">
        <f t="shared" si="3"/>
        <v>0</v>
      </c>
      <c r="AB42" s="148">
        <f t="shared" si="1"/>
        <v>0</v>
      </c>
      <c r="AC42" s="149"/>
      <c r="AD42" s="150">
        <f t="shared" si="2"/>
        <v>0</v>
      </c>
    </row>
    <row r="43" spans="1:30" x14ac:dyDescent="0.3">
      <c r="A43" s="139">
        <f t="shared" si="0"/>
        <v>5</v>
      </c>
      <c r="B43" s="140"/>
      <c r="C43" s="140"/>
      <c r="D43" s="140"/>
      <c r="E43" s="140"/>
      <c r="F43" s="141"/>
      <c r="G43" s="141"/>
      <c r="H43" s="141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2"/>
      <c r="AA43" s="147">
        <f t="shared" si="3"/>
        <v>0</v>
      </c>
      <c r="AB43" s="148">
        <f t="shared" si="1"/>
        <v>0</v>
      </c>
      <c r="AC43" s="149"/>
      <c r="AD43" s="150">
        <f t="shared" si="2"/>
        <v>0</v>
      </c>
    </row>
    <row r="44" spans="1:30" x14ac:dyDescent="0.3">
      <c r="A44" s="139">
        <f t="shared" si="0"/>
        <v>6</v>
      </c>
      <c r="B44" s="140"/>
      <c r="C44" s="140"/>
      <c r="D44" s="140"/>
      <c r="E44" s="140"/>
      <c r="F44" s="141"/>
      <c r="G44" s="141"/>
      <c r="H44" s="141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2"/>
      <c r="AA44" s="147">
        <f t="shared" si="3"/>
        <v>0</v>
      </c>
      <c r="AB44" s="148">
        <f t="shared" si="1"/>
        <v>0</v>
      </c>
      <c r="AC44" s="149"/>
      <c r="AD44" s="150">
        <f t="shared" si="2"/>
        <v>0</v>
      </c>
    </row>
    <row r="45" spans="1:30" x14ac:dyDescent="0.3">
      <c r="A45" s="139">
        <f t="shared" si="0"/>
        <v>7</v>
      </c>
      <c r="B45" s="140"/>
      <c r="C45" s="140"/>
      <c r="D45" s="140"/>
      <c r="E45" s="140"/>
      <c r="F45" s="141"/>
      <c r="G45" s="141"/>
      <c r="H45" s="141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2"/>
      <c r="AA45" s="147">
        <f t="shared" si="3"/>
        <v>0</v>
      </c>
      <c r="AB45" s="148">
        <f t="shared" si="1"/>
        <v>0</v>
      </c>
      <c r="AC45" s="149"/>
      <c r="AD45" s="150">
        <f t="shared" si="2"/>
        <v>0</v>
      </c>
    </row>
    <row r="46" spans="1:30" x14ac:dyDescent="0.3">
      <c r="A46" s="139">
        <f t="shared" si="0"/>
        <v>8</v>
      </c>
      <c r="B46" s="140"/>
      <c r="C46" s="140"/>
      <c r="D46" s="140"/>
      <c r="E46" s="140"/>
      <c r="F46" s="141"/>
      <c r="G46" s="141"/>
      <c r="H46" s="141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2"/>
      <c r="AA46" s="147">
        <f t="shared" si="3"/>
        <v>0</v>
      </c>
      <c r="AB46" s="148">
        <f t="shared" si="1"/>
        <v>0</v>
      </c>
      <c r="AC46" s="149"/>
      <c r="AD46" s="150">
        <f t="shared" si="2"/>
        <v>0</v>
      </c>
    </row>
    <row r="47" spans="1:30" x14ac:dyDescent="0.3">
      <c r="A47" s="139">
        <f t="shared" si="0"/>
        <v>9</v>
      </c>
      <c r="B47" s="140"/>
      <c r="C47" s="140"/>
      <c r="D47" s="140"/>
      <c r="E47" s="140"/>
      <c r="F47" s="141"/>
      <c r="G47" s="141"/>
      <c r="H47" s="141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2"/>
      <c r="AA47" s="147">
        <f t="shared" si="3"/>
        <v>0</v>
      </c>
      <c r="AB47" s="148">
        <f t="shared" si="1"/>
        <v>0</v>
      </c>
      <c r="AC47" s="149"/>
      <c r="AD47" s="150">
        <f t="shared" si="2"/>
        <v>0</v>
      </c>
    </row>
    <row r="48" spans="1:30" ht="15" thickBot="1" x14ac:dyDescent="0.35">
      <c r="A48" s="139">
        <f t="shared" si="0"/>
        <v>10</v>
      </c>
      <c r="B48" s="140"/>
      <c r="C48" s="140"/>
      <c r="D48" s="140"/>
      <c r="E48" s="140"/>
      <c r="F48" s="141"/>
      <c r="G48" s="141"/>
      <c r="H48" s="141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2"/>
      <c r="AA48" s="151">
        <f t="shared" si="3"/>
        <v>0</v>
      </c>
      <c r="AB48" s="152">
        <f t="shared" si="1"/>
        <v>0</v>
      </c>
      <c r="AC48" s="153"/>
      <c r="AD48" s="154">
        <f t="shared" si="2"/>
        <v>0</v>
      </c>
    </row>
    <row r="49" spans="1:30" x14ac:dyDescent="0.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155"/>
      <c r="AD49" s="156"/>
    </row>
    <row r="50" spans="1:30" ht="15" thickBot="1" x14ac:dyDescent="0.3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 t="s">
        <v>44</v>
      </c>
      <c r="Z50" s="92"/>
      <c r="AA50" s="157">
        <f>SUM(AA7:AA41)</f>
        <v>0</v>
      </c>
      <c r="AB50" s="157">
        <f>SUM(AB7:AB41)</f>
        <v>0</v>
      </c>
      <c r="AC50" s="158">
        <f>AC41</f>
        <v>0</v>
      </c>
      <c r="AD50" s="159">
        <f>AB50*AC50</f>
        <v>0</v>
      </c>
    </row>
    <row r="51" spans="1:30" ht="15" thickTop="1" x14ac:dyDescent="0.3"/>
  </sheetData>
  <mergeCells count="2">
    <mergeCell ref="K3:L3"/>
    <mergeCell ref="K4:L4"/>
  </mergeCells>
  <printOptions horizontalCentered="1"/>
  <pageMargins left="0.2" right="0.2" top="0" bottom="0" header="0" footer="0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24</vt:i4>
      </vt:variant>
    </vt:vector>
  </HeadingPairs>
  <TitlesOfParts>
    <vt:vector size="55" baseType="lpstr">
      <vt:lpstr>ERF entry</vt:lpstr>
      <vt:lpstr>Week 1</vt:lpstr>
      <vt:lpstr>Week 2</vt:lpstr>
      <vt:lpstr>Week 3</vt:lpstr>
      <vt:lpstr>Week 4</vt:lpstr>
      <vt:lpstr>Week 5</vt:lpstr>
      <vt:lpstr>Week 6</vt:lpstr>
      <vt:lpstr>DOC Invoice</vt:lpstr>
      <vt:lpstr>Kosher Summary</vt:lpstr>
      <vt:lpstr>Bledsoe</vt:lpstr>
      <vt:lpstr>Northeast Carter Co Annex</vt:lpstr>
      <vt:lpstr>Luttrell</vt:lpstr>
      <vt:lpstr>Northwest</vt:lpstr>
      <vt:lpstr>Turney Annex</vt:lpstr>
      <vt:lpstr>TN Corrections Academy</vt:lpstr>
      <vt:lpstr>West TN State</vt:lpstr>
      <vt:lpstr>DeBerry</vt:lpstr>
      <vt:lpstr>Morgan</vt:lpstr>
      <vt:lpstr>Northeast</vt:lpstr>
      <vt:lpstr>Northeast Carter</vt:lpstr>
      <vt:lpstr>Riverbend</vt:lpstr>
      <vt:lpstr>D Johnson Rehab Ctr</vt:lpstr>
      <vt:lpstr>Turney</vt:lpstr>
      <vt:lpstr>WTRC</vt:lpstr>
      <vt:lpstr>Inv Usage Credits</vt:lpstr>
      <vt:lpstr>Northwest Inv Usage</vt:lpstr>
      <vt:lpstr>Facility Requested Meals + Bulk</vt:lpstr>
      <vt:lpstr>August - EE Credits FY23  </vt:lpstr>
      <vt:lpstr>State to ARA Charge Aug FY23</vt:lpstr>
      <vt:lpstr>August - EE OT</vt:lpstr>
      <vt:lpstr>DOTS</vt:lpstr>
      <vt:lpstr>Bledsoe!Print_Area</vt:lpstr>
      <vt:lpstr>'D Johnson Rehab Ctr'!Print_Area</vt:lpstr>
      <vt:lpstr>DeBerry!Print_Area</vt:lpstr>
      <vt:lpstr>'DOC Invoice'!Print_Area</vt:lpstr>
      <vt:lpstr>'Facility Requested Meals + Bulk'!Print_Area</vt:lpstr>
      <vt:lpstr>'Kosher Summary'!Print_Area</vt:lpstr>
      <vt:lpstr>Luttrell!Print_Area</vt:lpstr>
      <vt:lpstr>Morgan!Print_Area</vt:lpstr>
      <vt:lpstr>Northeast!Print_Area</vt:lpstr>
      <vt:lpstr>'Northeast Carter'!Print_Area</vt:lpstr>
      <vt:lpstr>'Northeast Carter Co Annex'!Print_Area</vt:lpstr>
      <vt:lpstr>Northwest!Print_Area</vt:lpstr>
      <vt:lpstr>Riverbend!Print_Area</vt:lpstr>
      <vt:lpstr>'TN Corrections Academy'!Print_Area</vt:lpstr>
      <vt:lpstr>Turney!Print_Area</vt:lpstr>
      <vt:lpstr>'Turney Annex'!Print_Area</vt:lpstr>
      <vt:lpstr>'Week 1'!Print_Area</vt:lpstr>
      <vt:lpstr>'Week 2'!Print_Area</vt:lpstr>
      <vt:lpstr>'Week 3'!Print_Area</vt:lpstr>
      <vt:lpstr>'Week 4'!Print_Area</vt:lpstr>
      <vt:lpstr>'Week 5'!Print_Area</vt:lpstr>
      <vt:lpstr>'Week 6'!Print_Area</vt:lpstr>
      <vt:lpstr>'West TN State'!Print_Area</vt:lpstr>
      <vt:lpstr>WTRC!Print_Area</vt:lpstr>
    </vt:vector>
  </TitlesOfParts>
  <Company>ARAMARK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crumb</dc:creator>
  <cp:lastModifiedBy>King, Keitha</cp:lastModifiedBy>
  <cp:lastPrinted>2023-01-17T21:57:18Z</cp:lastPrinted>
  <dcterms:created xsi:type="dcterms:W3CDTF">2013-07-18T15:38:41Z</dcterms:created>
  <dcterms:modified xsi:type="dcterms:W3CDTF">2023-09-19T00:38:15Z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